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37-42 Staffing Pattern Report\FY2025\"/>
    </mc:Choice>
  </mc:AlternateContent>
  <xr:revisionPtr revIDLastSave="0" documentId="13_ncr:1_{253F3091-BFA2-4324-A3BE-771B33A242D6}" xr6:coauthVersionLast="47" xr6:coauthVersionMax="47" xr10:uidLastSave="{00000000-0000-0000-0000-000000000000}"/>
  <bookViews>
    <workbookView xWindow="-120" yWindow="-120" windowWidth="29040" windowHeight="15840" tabRatio="944" xr2:uid="{F997665F-BD27-4945-BAB8-6E4E62805A57}"/>
  </bookViews>
  <sheets>
    <sheet name="GDOL FY 25 2nd. QTR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9" i="1" l="1"/>
  <c r="L160" i="1" l="1"/>
  <c r="L149" i="1"/>
  <c r="L141" i="1"/>
  <c r="L107" i="1" l="1"/>
  <c r="L106" i="1"/>
  <c r="L105" i="1"/>
  <c r="L92" i="1" l="1"/>
  <c r="L91" i="1"/>
  <c r="L90" i="1"/>
  <c r="L85" i="1"/>
  <c r="L83" i="1"/>
  <c r="L80" i="1"/>
  <c r="L76" i="1" l="1"/>
  <c r="L74" i="1"/>
  <c r="L73" i="1"/>
  <c r="L72" i="1"/>
  <c r="L71" i="1"/>
  <c r="L70" i="1"/>
  <c r="L59" i="1"/>
  <c r="L55" i="1"/>
  <c r="L101" i="1" l="1"/>
  <c r="L50" i="1"/>
  <c r="H193" i="1"/>
  <c r="L110" i="1"/>
  <c r="L115" i="1"/>
  <c r="L124" i="1"/>
  <c r="L125" i="1"/>
  <c r="L126" i="1"/>
  <c r="L128" i="1"/>
  <c r="L129" i="1"/>
  <c r="L131" i="1"/>
  <c r="L136" i="1" l="1"/>
  <c r="L139" i="1"/>
  <c r="L138" i="1"/>
  <c r="L140" i="1"/>
  <c r="L147" i="1"/>
  <c r="L148" i="1"/>
  <c r="L161" i="1"/>
  <c r="L165" i="1"/>
  <c r="L168" i="1"/>
  <c r="L174" i="1"/>
  <c r="L173" i="1"/>
  <c r="L40" i="1"/>
  <c r="L61" i="1" l="1"/>
  <c r="L48" i="1" l="1"/>
  <c r="L46" i="1"/>
  <c r="L39" i="1"/>
  <c r="L15" i="1"/>
  <c r="L26" i="1"/>
  <c r="R127" i="1" l="1"/>
  <c r="O127" i="1"/>
  <c r="R178" i="1"/>
  <c r="O178" i="1"/>
  <c r="H178" i="1"/>
  <c r="M178" i="1" s="1"/>
  <c r="M24" i="1"/>
  <c r="N24" i="1" s="1"/>
  <c r="T82" i="1"/>
  <c r="T78" i="1"/>
  <c r="S82" i="1"/>
  <c r="S78" i="1"/>
  <c r="T13" i="1"/>
  <c r="R199" i="1"/>
  <c r="R190" i="1"/>
  <c r="R191" i="1"/>
  <c r="R192" i="1"/>
  <c r="R193" i="1"/>
  <c r="R194" i="1"/>
  <c r="R195" i="1"/>
  <c r="R196" i="1"/>
  <c r="R197" i="1"/>
  <c r="R198" i="1"/>
  <c r="R189" i="1"/>
  <c r="R188" i="1"/>
  <c r="R187" i="1"/>
  <c r="R186" i="1"/>
  <c r="R185" i="1"/>
  <c r="R184" i="1"/>
  <c r="R183" i="1"/>
  <c r="R182" i="1"/>
  <c r="R181" i="1"/>
  <c r="R180" i="1"/>
  <c r="R179" i="1"/>
  <c r="R177" i="1"/>
  <c r="R174" i="1"/>
  <c r="R173" i="1"/>
  <c r="R168" i="1"/>
  <c r="R166" i="1"/>
  <c r="R165" i="1"/>
  <c r="R161" i="1"/>
  <c r="R162" i="1"/>
  <c r="R163" i="1"/>
  <c r="R160" i="1"/>
  <c r="R155" i="1"/>
  <c r="R147" i="1"/>
  <c r="R148" i="1"/>
  <c r="R149" i="1"/>
  <c r="R150" i="1"/>
  <c r="R146" i="1"/>
  <c r="R139" i="1"/>
  <c r="R140" i="1"/>
  <c r="R141" i="1"/>
  <c r="R138" i="1"/>
  <c r="R136" i="1"/>
  <c r="R129" i="1"/>
  <c r="R131" i="1"/>
  <c r="R132" i="1"/>
  <c r="R128" i="1"/>
  <c r="R125" i="1"/>
  <c r="R126" i="1"/>
  <c r="R124" i="1"/>
  <c r="R122" i="1"/>
  <c r="R119" i="1"/>
  <c r="R120" i="1"/>
  <c r="R118" i="1"/>
  <c r="R110" i="1"/>
  <c r="R111" i="1"/>
  <c r="R109" i="1"/>
  <c r="R112" i="1"/>
  <c r="R115" i="1"/>
  <c r="R106" i="1"/>
  <c r="R105" i="1"/>
  <c r="R101" i="1"/>
  <c r="R102" i="1"/>
  <c r="R103" i="1"/>
  <c r="R100" i="1"/>
  <c r="R98" i="1"/>
  <c r="R96" i="1"/>
  <c r="R89" i="1"/>
  <c r="R90" i="1"/>
  <c r="R91" i="1"/>
  <c r="R92" i="1"/>
  <c r="R88" i="1"/>
  <c r="R86" i="1"/>
  <c r="R85" i="1"/>
  <c r="R83" i="1"/>
  <c r="R82" i="1"/>
  <c r="R80" i="1"/>
  <c r="R71" i="1"/>
  <c r="R72" i="1"/>
  <c r="R73" i="1"/>
  <c r="R74" i="1"/>
  <c r="R75" i="1"/>
  <c r="R76" i="1"/>
  <c r="R77" i="1"/>
  <c r="R78" i="1"/>
  <c r="R70" i="1"/>
  <c r="R60" i="1"/>
  <c r="R61" i="1"/>
  <c r="R62" i="1"/>
  <c r="R63" i="1"/>
  <c r="R64" i="1"/>
  <c r="R65" i="1"/>
  <c r="R59" i="1"/>
  <c r="R55" i="1"/>
  <c r="R54" i="1"/>
  <c r="R44" i="1"/>
  <c r="R45" i="1"/>
  <c r="R46" i="1"/>
  <c r="R47" i="1"/>
  <c r="R48" i="1"/>
  <c r="R49" i="1"/>
  <c r="R50" i="1"/>
  <c r="R43" i="1"/>
  <c r="R40" i="1"/>
  <c r="R39" i="1"/>
  <c r="R32" i="1"/>
  <c r="R31" i="1"/>
  <c r="R28" i="1"/>
  <c r="R26" i="1"/>
  <c r="R18" i="1"/>
  <c r="R19" i="1"/>
  <c r="R20" i="1"/>
  <c r="R17" i="1"/>
  <c r="R14" i="1"/>
  <c r="R15" i="1"/>
  <c r="R13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7" i="1"/>
  <c r="O174" i="1"/>
  <c r="O173" i="1"/>
  <c r="O168" i="1"/>
  <c r="O166" i="1"/>
  <c r="O165" i="1"/>
  <c r="O163" i="1"/>
  <c r="O162" i="1"/>
  <c r="O161" i="1"/>
  <c r="O160" i="1"/>
  <c r="O149" i="1"/>
  <c r="O148" i="1"/>
  <c r="O147" i="1"/>
  <c r="O146" i="1"/>
  <c r="O141" i="1"/>
  <c r="O140" i="1"/>
  <c r="O139" i="1"/>
  <c r="O138" i="1"/>
  <c r="O136" i="1"/>
  <c r="O132" i="1"/>
  <c r="O131" i="1"/>
  <c r="O129" i="1"/>
  <c r="O126" i="1"/>
  <c r="O125" i="1"/>
  <c r="O124" i="1"/>
  <c r="O122" i="1"/>
  <c r="O120" i="1"/>
  <c r="O119" i="1"/>
  <c r="O118" i="1"/>
  <c r="O115" i="1"/>
  <c r="O112" i="1"/>
  <c r="O111" i="1"/>
  <c r="O110" i="1"/>
  <c r="O109" i="1"/>
  <c r="O106" i="1"/>
  <c r="O103" i="1"/>
  <c r="O102" i="1"/>
  <c r="O101" i="1"/>
  <c r="O100" i="1"/>
  <c r="O98" i="1"/>
  <c r="O96" i="1"/>
  <c r="O92" i="1"/>
  <c r="O91" i="1"/>
  <c r="O90" i="1"/>
  <c r="O89" i="1"/>
  <c r="O88" i="1"/>
  <c r="O86" i="1"/>
  <c r="O85" i="1"/>
  <c r="O83" i="1"/>
  <c r="O82" i="1"/>
  <c r="O78" i="1"/>
  <c r="O77" i="1"/>
  <c r="O76" i="1"/>
  <c r="O75" i="1"/>
  <c r="O74" i="1"/>
  <c r="O73" i="1"/>
  <c r="O72" i="1"/>
  <c r="O71" i="1"/>
  <c r="O70" i="1"/>
  <c r="O65" i="1"/>
  <c r="O64" i="1"/>
  <c r="O63" i="1"/>
  <c r="O62" i="1"/>
  <c r="O61" i="1"/>
  <c r="O60" i="1"/>
  <c r="O59" i="1"/>
  <c r="O55" i="1"/>
  <c r="O54" i="1"/>
  <c r="O50" i="1"/>
  <c r="O49" i="1"/>
  <c r="O48" i="1"/>
  <c r="O47" i="1"/>
  <c r="O46" i="1"/>
  <c r="O45" i="1"/>
  <c r="O44" i="1"/>
  <c r="O43" i="1"/>
  <c r="O40" i="1"/>
  <c r="O39" i="1"/>
  <c r="O34" i="1"/>
  <c r="O32" i="1"/>
  <c r="O31" i="1"/>
  <c r="O28" i="1"/>
  <c r="O26" i="1"/>
  <c r="O20" i="1"/>
  <c r="O19" i="1"/>
  <c r="O18" i="1"/>
  <c r="O17" i="1"/>
  <c r="O15" i="1"/>
  <c r="O14" i="1"/>
  <c r="O13" i="1"/>
  <c r="H198" i="1"/>
  <c r="H197" i="1"/>
  <c r="H195" i="1"/>
  <c r="H194" i="1"/>
  <c r="H192" i="1"/>
  <c r="H189" i="1"/>
  <c r="H188" i="1"/>
  <c r="H187" i="1"/>
  <c r="H186" i="1"/>
  <c r="H185" i="1"/>
  <c r="H184" i="1"/>
  <c r="H183" i="1"/>
  <c r="H182" i="1"/>
  <c r="H181" i="1"/>
  <c r="H180" i="1"/>
  <c r="H179" i="1"/>
  <c r="H166" i="1"/>
  <c r="H162" i="1"/>
  <c r="H155" i="1"/>
  <c r="H150" i="1"/>
  <c r="H147" i="1"/>
  <c r="H146" i="1"/>
  <c r="H139" i="1"/>
  <c r="H136" i="1"/>
  <c r="H132" i="1"/>
  <c r="H129" i="1"/>
  <c r="H128" i="1"/>
  <c r="H122" i="1"/>
  <c r="H120" i="1"/>
  <c r="H119" i="1"/>
  <c r="H118" i="1"/>
  <c r="H112" i="1"/>
  <c r="H111" i="1"/>
  <c r="H109" i="1"/>
  <c r="H103" i="1"/>
  <c r="H102" i="1"/>
  <c r="H100" i="1"/>
  <c r="H96" i="1"/>
  <c r="H89" i="1"/>
  <c r="H88" i="1"/>
  <c r="H82" i="1"/>
  <c r="H80" i="1"/>
  <c r="H65" i="1"/>
  <c r="H64" i="1"/>
  <c r="H63" i="1"/>
  <c r="H62" i="1"/>
  <c r="H60" i="1"/>
  <c r="H54" i="1"/>
  <c r="H50" i="1"/>
  <c r="H49" i="1"/>
  <c r="H47" i="1"/>
  <c r="H45" i="1"/>
  <c r="H44" i="1"/>
  <c r="H43" i="1"/>
  <c r="H39" i="1"/>
  <c r="H32" i="1"/>
  <c r="H31" i="1"/>
  <c r="H28" i="1"/>
  <c r="H26" i="1"/>
  <c r="H20" i="1"/>
  <c r="H19" i="1"/>
  <c r="H17" i="1"/>
  <c r="H15" i="1"/>
  <c r="H14" i="1"/>
  <c r="H13" i="1"/>
  <c r="L132" i="1"/>
  <c r="Q178" i="1" l="1"/>
  <c r="U178" i="1" s="1"/>
  <c r="V178" i="1" s="1"/>
  <c r="Q24" i="1"/>
  <c r="U24" i="1" s="1"/>
  <c r="V24" i="1" s="1"/>
  <c r="M138" i="1"/>
  <c r="M199" i="1" l="1"/>
  <c r="M179" i="1"/>
  <c r="Q179" i="1" s="1"/>
  <c r="U179" i="1" s="1"/>
  <c r="M91" i="1"/>
  <c r="M92" i="1"/>
  <c r="M93" i="1"/>
  <c r="M94" i="1"/>
  <c r="M193" i="1"/>
  <c r="Q193" i="1" s="1"/>
  <c r="U193" i="1" s="1"/>
  <c r="M192" i="1"/>
  <c r="Q192" i="1" s="1"/>
  <c r="U192" i="1" s="1"/>
  <c r="M189" i="1"/>
  <c r="Q189" i="1" s="1"/>
  <c r="U189" i="1" s="1"/>
  <c r="M177" i="1"/>
  <c r="Q177" i="1" s="1"/>
  <c r="U177" i="1" s="1"/>
  <c r="V177" i="1" s="1"/>
  <c r="M180" i="1"/>
  <c r="Q180" i="1" s="1"/>
  <c r="U180" i="1" s="1"/>
  <c r="V180" i="1" s="1"/>
  <c r="M181" i="1"/>
  <c r="Q181" i="1" s="1"/>
  <c r="U181" i="1" s="1"/>
  <c r="M182" i="1"/>
  <c r="Q182" i="1" s="1"/>
  <c r="U182" i="1" s="1"/>
  <c r="M183" i="1"/>
  <c r="Q183" i="1" s="1"/>
  <c r="U183" i="1" s="1"/>
  <c r="M184" i="1"/>
  <c r="M185" i="1"/>
  <c r="Q185" i="1" s="1"/>
  <c r="U185" i="1" s="1"/>
  <c r="V185" i="1" s="1"/>
  <c r="M186" i="1"/>
  <c r="Q186" i="1" s="1"/>
  <c r="U186" i="1" s="1"/>
  <c r="V186" i="1" s="1"/>
  <c r="M187" i="1"/>
  <c r="Q187" i="1" s="1"/>
  <c r="U187" i="1" s="1"/>
  <c r="V187" i="1" s="1"/>
  <c r="M188" i="1"/>
  <c r="Q188" i="1" s="1"/>
  <c r="U188" i="1" s="1"/>
  <c r="M190" i="1"/>
  <c r="Q190" i="1" s="1"/>
  <c r="U190" i="1" s="1"/>
  <c r="M191" i="1"/>
  <c r="Q191" i="1" s="1"/>
  <c r="U191" i="1" s="1"/>
  <c r="M194" i="1"/>
  <c r="Q194" i="1" s="1"/>
  <c r="U194" i="1" s="1"/>
  <c r="M195" i="1"/>
  <c r="Q195" i="1" s="1"/>
  <c r="U195" i="1" s="1"/>
  <c r="M196" i="1"/>
  <c r="Q196" i="1" s="1"/>
  <c r="U196" i="1" s="1"/>
  <c r="M197" i="1"/>
  <c r="Q197" i="1" s="1"/>
  <c r="U197" i="1" s="1"/>
  <c r="M198" i="1"/>
  <c r="Q198" i="1" s="1"/>
  <c r="U198" i="1" s="1"/>
  <c r="M83" i="1"/>
  <c r="M84" i="1"/>
  <c r="M85" i="1"/>
  <c r="M86" i="1"/>
  <c r="M87" i="1"/>
  <c r="M173" i="1"/>
  <c r="M174" i="1"/>
  <c r="M175" i="1"/>
  <c r="M176" i="1"/>
  <c r="M60" i="1"/>
  <c r="M61" i="1"/>
  <c r="M62" i="1"/>
  <c r="M63" i="1"/>
  <c r="M64" i="1"/>
  <c r="M55" i="1"/>
  <c r="M56" i="1"/>
  <c r="M57" i="1"/>
  <c r="M58" i="1"/>
  <c r="M59" i="1"/>
  <c r="M65" i="1"/>
  <c r="M107" i="1"/>
  <c r="Q199" i="1" l="1"/>
  <c r="N199" i="1"/>
  <c r="Q91" i="1"/>
  <c r="N91" i="1"/>
  <c r="N92" i="1"/>
  <c r="Q92" i="1"/>
  <c r="N93" i="1"/>
  <c r="Q93" i="1"/>
  <c r="Q94" i="1"/>
  <c r="N94" i="1"/>
  <c r="V188" i="1"/>
  <c r="V179" i="1"/>
  <c r="V194" i="1"/>
  <c r="V196" i="1"/>
  <c r="V195" i="1"/>
  <c r="V182" i="1"/>
  <c r="V181" i="1"/>
  <c r="V197" i="1"/>
  <c r="V193" i="1"/>
  <c r="V192" i="1"/>
  <c r="V183" i="1"/>
  <c r="Q184" i="1"/>
  <c r="U184" i="1" s="1"/>
  <c r="V184" i="1" s="1"/>
  <c r="V191" i="1"/>
  <c r="V198" i="1"/>
  <c r="V190" i="1"/>
  <c r="V189" i="1"/>
  <c r="Q85" i="1"/>
  <c r="N85" i="1"/>
  <c r="Q86" i="1"/>
  <c r="N86" i="1"/>
  <c r="Q87" i="1"/>
  <c r="N87" i="1"/>
  <c r="N83" i="1"/>
  <c r="Q83" i="1"/>
  <c r="Q84" i="1"/>
  <c r="N84" i="1"/>
  <c r="Q173" i="1"/>
  <c r="N173" i="1"/>
  <c r="Q174" i="1"/>
  <c r="N174" i="1"/>
  <c r="Q175" i="1"/>
  <c r="N175" i="1"/>
  <c r="Q176" i="1"/>
  <c r="N176" i="1"/>
  <c r="Q60" i="1"/>
  <c r="N60" i="1"/>
  <c r="Q55" i="1"/>
  <c r="N55" i="1"/>
  <c r="Q56" i="1"/>
  <c r="N56" i="1"/>
  <c r="Q57" i="1"/>
  <c r="N57" i="1"/>
  <c r="Q58" i="1"/>
  <c r="N58" i="1"/>
  <c r="Q59" i="1"/>
  <c r="N59" i="1"/>
  <c r="Q61" i="1"/>
  <c r="N61" i="1"/>
  <c r="Q62" i="1"/>
  <c r="N62" i="1"/>
  <c r="N63" i="1"/>
  <c r="Q63" i="1"/>
  <c r="Q64" i="1"/>
  <c r="N64" i="1"/>
  <c r="Q65" i="1"/>
  <c r="N65" i="1"/>
  <c r="Q107" i="1"/>
  <c r="N107" i="1"/>
  <c r="U199" i="1" l="1"/>
  <c r="V199" i="1" s="1"/>
  <c r="U55" i="1"/>
  <c r="V55" i="1" s="1"/>
  <c r="U91" i="1"/>
  <c r="V91" i="1" s="1"/>
  <c r="U94" i="1"/>
  <c r="V94" i="1" s="1"/>
  <c r="U60" i="1"/>
  <c r="V60" i="1" s="1"/>
  <c r="U59" i="1"/>
  <c r="V59" i="1" s="1"/>
  <c r="U84" i="1"/>
  <c r="V84" i="1" s="1"/>
  <c r="U92" i="1"/>
  <c r="V92" i="1" s="1"/>
  <c r="U93" i="1"/>
  <c r="V93" i="1" s="1"/>
  <c r="U85" i="1"/>
  <c r="V85" i="1" s="1"/>
  <c r="U56" i="1"/>
  <c r="V56" i="1" s="1"/>
  <c r="U86" i="1"/>
  <c r="V86" i="1" s="1"/>
  <c r="U107" i="1"/>
  <c r="V107" i="1" s="1"/>
  <c r="U83" i="1"/>
  <c r="V83" i="1" s="1"/>
  <c r="U87" i="1"/>
  <c r="V87" i="1" s="1"/>
  <c r="U58" i="1"/>
  <c r="V58" i="1" s="1"/>
  <c r="U173" i="1"/>
  <c r="V173" i="1" s="1"/>
  <c r="U175" i="1"/>
  <c r="V175" i="1" s="1"/>
  <c r="U176" i="1"/>
  <c r="V176" i="1" s="1"/>
  <c r="U174" i="1"/>
  <c r="V174" i="1" s="1"/>
  <c r="U62" i="1"/>
  <c r="V62" i="1" s="1"/>
  <c r="U57" i="1"/>
  <c r="V57" i="1" s="1"/>
  <c r="U65" i="1"/>
  <c r="V65" i="1" s="1"/>
  <c r="U64" i="1"/>
  <c r="V64" i="1" s="1"/>
  <c r="U63" i="1"/>
  <c r="V63" i="1" s="1"/>
  <c r="U61" i="1"/>
  <c r="V61" i="1" s="1"/>
  <c r="M115" i="1" l="1"/>
  <c r="M66" i="1"/>
  <c r="M67" i="1"/>
  <c r="M68" i="1"/>
  <c r="M69" i="1"/>
  <c r="M70" i="1"/>
  <c r="M71" i="1"/>
  <c r="M72" i="1"/>
  <c r="M74" i="1"/>
  <c r="M75" i="1"/>
  <c r="M77" i="1"/>
  <c r="M78" i="1"/>
  <c r="M79" i="1"/>
  <c r="M80" i="1"/>
  <c r="M81" i="1"/>
  <c r="M82" i="1"/>
  <c r="M162" i="1"/>
  <c r="M163" i="1"/>
  <c r="M164" i="1"/>
  <c r="M165" i="1"/>
  <c r="M166" i="1"/>
  <c r="M167" i="1"/>
  <c r="M168" i="1"/>
  <c r="M169" i="1"/>
  <c r="Q169" i="1" s="1"/>
  <c r="M170" i="1"/>
  <c r="M171" i="1"/>
  <c r="M172" i="1"/>
  <c r="Q115" i="1" l="1"/>
  <c r="N115" i="1"/>
  <c r="M76" i="1"/>
  <c r="N76" i="1" s="1"/>
  <c r="N67" i="1"/>
  <c r="Q67" i="1"/>
  <c r="Q66" i="1"/>
  <c r="N66" i="1"/>
  <c r="N68" i="1"/>
  <c r="Q68" i="1"/>
  <c r="Q69" i="1"/>
  <c r="N69" i="1"/>
  <c r="M73" i="1"/>
  <c r="N73" i="1" s="1"/>
  <c r="N170" i="1"/>
  <c r="Q170" i="1"/>
  <c r="N171" i="1"/>
  <c r="Q171" i="1"/>
  <c r="N172" i="1"/>
  <c r="N169" i="1"/>
  <c r="U169" i="1" s="1"/>
  <c r="V169" i="1" s="1"/>
  <c r="Q172" i="1"/>
  <c r="N79" i="1"/>
  <c r="Q79" i="1"/>
  <c r="Q80" i="1"/>
  <c r="N80" i="1"/>
  <c r="Q71" i="1"/>
  <c r="N71" i="1"/>
  <c r="Q72" i="1"/>
  <c r="N72" i="1"/>
  <c r="N75" i="1"/>
  <c r="Q75" i="1"/>
  <c r="Q77" i="1"/>
  <c r="N77" i="1"/>
  <c r="N74" i="1"/>
  <c r="Q74" i="1"/>
  <c r="Q70" i="1"/>
  <c r="N70" i="1"/>
  <c r="Q78" i="1"/>
  <c r="N78" i="1"/>
  <c r="N81" i="1"/>
  <c r="Q81" i="1"/>
  <c r="N82" i="1"/>
  <c r="Q82" i="1"/>
  <c r="N162" i="1"/>
  <c r="Q162" i="1"/>
  <c r="N164" i="1"/>
  <c r="Q164" i="1"/>
  <c r="N163" i="1"/>
  <c r="Q163" i="1"/>
  <c r="N168" i="1"/>
  <c r="Q168" i="1"/>
  <c r="N167" i="1"/>
  <c r="Q167" i="1"/>
  <c r="N166" i="1"/>
  <c r="Q166" i="1"/>
  <c r="Q165" i="1"/>
  <c r="N165" i="1"/>
  <c r="M136" i="1"/>
  <c r="Q136" i="1" s="1"/>
  <c r="M137" i="1"/>
  <c r="N137" i="1" s="1"/>
  <c r="N138" i="1"/>
  <c r="M139" i="1"/>
  <c r="N139" i="1" s="1"/>
  <c r="M140" i="1"/>
  <c r="N140" i="1" s="1"/>
  <c r="M141" i="1"/>
  <c r="N141" i="1" s="1"/>
  <c r="M142" i="1"/>
  <c r="N142" i="1" s="1"/>
  <c r="M143" i="1"/>
  <c r="Q143" i="1" s="1"/>
  <c r="M144" i="1"/>
  <c r="N144" i="1" s="1"/>
  <c r="M145" i="1"/>
  <c r="Q145" i="1" s="1"/>
  <c r="M146" i="1"/>
  <c r="Q146" i="1" s="1"/>
  <c r="M147" i="1"/>
  <c r="Q147" i="1" s="1"/>
  <c r="M148" i="1"/>
  <c r="Q148" i="1" s="1"/>
  <c r="M149" i="1"/>
  <c r="Q149" i="1" s="1"/>
  <c r="M150" i="1"/>
  <c r="Q150" i="1" s="1"/>
  <c r="M151" i="1"/>
  <c r="Q151" i="1" s="1"/>
  <c r="M152" i="1"/>
  <c r="N152" i="1" s="1"/>
  <c r="M153" i="1"/>
  <c r="N153" i="1" s="1"/>
  <c r="M154" i="1"/>
  <c r="N154" i="1" s="1"/>
  <c r="M155" i="1"/>
  <c r="Q155" i="1" s="1"/>
  <c r="M156" i="1"/>
  <c r="Q156" i="1" s="1"/>
  <c r="M157" i="1"/>
  <c r="N157" i="1" s="1"/>
  <c r="M158" i="1"/>
  <c r="Q158" i="1" s="1"/>
  <c r="M159" i="1"/>
  <c r="N159" i="1" s="1"/>
  <c r="M160" i="1"/>
  <c r="Q160" i="1" s="1"/>
  <c r="M161" i="1"/>
  <c r="N161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90" i="1" s="1"/>
  <c r="M134" i="1"/>
  <c r="N134" i="1" s="1"/>
  <c r="M95" i="1" s="1"/>
  <c r="M135" i="1"/>
  <c r="N135" i="1" s="1"/>
  <c r="M96" i="1" s="1"/>
  <c r="H201" i="1"/>
  <c r="U78" i="1" l="1"/>
  <c r="V78" i="1" s="1"/>
  <c r="Q73" i="1"/>
  <c r="U73" i="1" s="1"/>
  <c r="V73" i="1" s="1"/>
  <c r="U115" i="1"/>
  <c r="V115" i="1" s="1"/>
  <c r="U77" i="1"/>
  <c r="V77" i="1" s="1"/>
  <c r="U80" i="1"/>
  <c r="V80" i="1" s="1"/>
  <c r="Q95" i="1"/>
  <c r="N95" i="1"/>
  <c r="N96" i="1"/>
  <c r="Q96" i="1"/>
  <c r="Q90" i="1"/>
  <c r="N90" i="1"/>
  <c r="U165" i="1"/>
  <c r="V165" i="1" s="1"/>
  <c r="Q76" i="1"/>
  <c r="U76" i="1" s="1"/>
  <c r="V76" i="1" s="1"/>
  <c r="U66" i="1"/>
  <c r="V66" i="1" s="1"/>
  <c r="U69" i="1"/>
  <c r="V69" i="1" s="1"/>
  <c r="U68" i="1"/>
  <c r="V68" i="1" s="1"/>
  <c r="U67" i="1"/>
  <c r="V67" i="1" s="1"/>
  <c r="U163" i="1"/>
  <c r="V163" i="1" s="1"/>
  <c r="U71" i="1"/>
  <c r="V71" i="1" s="1"/>
  <c r="U167" i="1"/>
  <c r="V167" i="1" s="1"/>
  <c r="U172" i="1"/>
  <c r="V172" i="1" s="1"/>
  <c r="U171" i="1"/>
  <c r="V171" i="1" s="1"/>
  <c r="U170" i="1"/>
  <c r="V170" i="1" s="1"/>
  <c r="U79" i="1"/>
  <c r="V79" i="1" s="1"/>
  <c r="U72" i="1"/>
  <c r="V72" i="1" s="1"/>
  <c r="U81" i="1"/>
  <c r="V81" i="1" s="1"/>
  <c r="U70" i="1"/>
  <c r="V70" i="1" s="1"/>
  <c r="U82" i="1"/>
  <c r="V82" i="1" s="1"/>
  <c r="U74" i="1"/>
  <c r="V74" i="1" s="1"/>
  <c r="U75" i="1"/>
  <c r="V75" i="1" s="1"/>
  <c r="U162" i="1"/>
  <c r="V162" i="1" s="1"/>
  <c r="U166" i="1"/>
  <c r="V166" i="1" s="1"/>
  <c r="U168" i="1"/>
  <c r="V168" i="1" s="1"/>
  <c r="U164" i="1"/>
  <c r="V164" i="1" s="1"/>
  <c r="Q128" i="1"/>
  <c r="U128" i="1" s="1"/>
  <c r="V128" i="1" s="1"/>
  <c r="N151" i="1"/>
  <c r="U151" i="1" s="1"/>
  <c r="V151" i="1" s="1"/>
  <c r="N136" i="1"/>
  <c r="U136" i="1" s="1"/>
  <c r="V136" i="1" s="1"/>
  <c r="Q157" i="1"/>
  <c r="U157" i="1" s="1"/>
  <c r="V157" i="1" s="1"/>
  <c r="Q134" i="1"/>
  <c r="U134" i="1" s="1"/>
  <c r="V134" i="1" s="1"/>
  <c r="Q132" i="1"/>
  <c r="U132" i="1" s="1"/>
  <c r="V132" i="1" s="1"/>
  <c r="Q131" i="1"/>
  <c r="U131" i="1" s="1"/>
  <c r="V131" i="1" s="1"/>
  <c r="Q153" i="1"/>
  <c r="U153" i="1" s="1"/>
  <c r="V153" i="1" s="1"/>
  <c r="Q130" i="1"/>
  <c r="U130" i="1" s="1"/>
  <c r="V130" i="1" s="1"/>
  <c r="Q152" i="1"/>
  <c r="U152" i="1" s="1"/>
  <c r="V152" i="1" s="1"/>
  <c r="Q161" i="1"/>
  <c r="U161" i="1" s="1"/>
  <c r="V161" i="1" s="1"/>
  <c r="Q159" i="1"/>
  <c r="U159" i="1" s="1"/>
  <c r="V159" i="1" s="1"/>
  <c r="Q135" i="1"/>
  <c r="U135" i="1" s="1"/>
  <c r="V135" i="1" s="1"/>
  <c r="Q133" i="1"/>
  <c r="U133" i="1" s="1"/>
  <c r="V133" i="1" s="1"/>
  <c r="Q154" i="1"/>
  <c r="U154" i="1" s="1"/>
  <c r="V154" i="1" s="1"/>
  <c r="Q129" i="1"/>
  <c r="U129" i="1" s="1"/>
  <c r="V129" i="1" s="1"/>
  <c r="Q142" i="1"/>
  <c r="U142" i="1" s="1"/>
  <c r="V142" i="1" s="1"/>
  <c r="Q141" i="1"/>
  <c r="U141" i="1" s="1"/>
  <c r="V141" i="1" s="1"/>
  <c r="N156" i="1"/>
  <c r="U156" i="1" s="1"/>
  <c r="V156" i="1" s="1"/>
  <c r="Q140" i="1"/>
  <c r="U140" i="1" s="1"/>
  <c r="V140" i="1" s="1"/>
  <c r="N155" i="1"/>
  <c r="U155" i="1" s="1"/>
  <c r="V155" i="1" s="1"/>
  <c r="Q139" i="1"/>
  <c r="U139" i="1" s="1"/>
  <c r="V139" i="1" s="1"/>
  <c r="Q138" i="1"/>
  <c r="U138" i="1" s="1"/>
  <c r="V138" i="1" s="1"/>
  <c r="Q137" i="1"/>
  <c r="U137" i="1" s="1"/>
  <c r="V137" i="1" s="1"/>
  <c r="N148" i="1"/>
  <c r="U148" i="1" s="1"/>
  <c r="V148" i="1" s="1"/>
  <c r="N146" i="1"/>
  <c r="U146" i="1" s="1"/>
  <c r="V146" i="1" s="1"/>
  <c r="N145" i="1"/>
  <c r="U145" i="1" s="1"/>
  <c r="V145" i="1" s="1"/>
  <c r="N150" i="1"/>
  <c r="U150" i="1" s="1"/>
  <c r="V150" i="1" s="1"/>
  <c r="N160" i="1"/>
  <c r="U160" i="1" s="1"/>
  <c r="V160" i="1" s="1"/>
  <c r="N158" i="1"/>
  <c r="U158" i="1" s="1"/>
  <c r="V158" i="1" s="1"/>
  <c r="Q144" i="1"/>
  <c r="U144" i="1" s="1"/>
  <c r="V144" i="1" s="1"/>
  <c r="N149" i="1"/>
  <c r="U149" i="1" s="1"/>
  <c r="V149" i="1" s="1"/>
  <c r="N147" i="1"/>
  <c r="U147" i="1" s="1"/>
  <c r="V147" i="1" s="1"/>
  <c r="N143" i="1"/>
  <c r="U143" i="1" s="1"/>
  <c r="V143" i="1" s="1"/>
  <c r="T201" i="1"/>
  <c r="S201" i="1"/>
  <c r="R201" i="1"/>
  <c r="P201" i="1"/>
  <c r="O201" i="1"/>
  <c r="L201" i="1"/>
  <c r="U90" i="1" l="1"/>
  <c r="V90" i="1" s="1"/>
  <c r="U95" i="1"/>
  <c r="V95" i="1" s="1"/>
  <c r="U96" i="1"/>
  <c r="V96" i="1" s="1"/>
  <c r="M17" i="1"/>
  <c r="M28" i="1"/>
  <c r="M31" i="1"/>
  <c r="M18" i="1"/>
  <c r="M23" i="1"/>
  <c r="M29" i="1"/>
  <c r="M20" i="1"/>
  <c r="M15" i="1"/>
  <c r="M19" i="1"/>
  <c r="M25" i="1"/>
  <c r="Q25" i="1" s="1"/>
  <c r="M30" i="1"/>
  <c r="M35" i="1"/>
  <c r="M22" i="1"/>
  <c r="M36" i="1"/>
  <c r="M26" i="1"/>
  <c r="M16" i="1"/>
  <c r="M21" i="1"/>
  <c r="M27" i="1"/>
  <c r="M32" i="1"/>
  <c r="M37" i="1"/>
  <c r="Q37" i="1" s="1"/>
  <c r="M200" i="1"/>
  <c r="Q200" i="1" s="1"/>
  <c r="M38" i="1"/>
  <c r="M33" i="1"/>
  <c r="M127" i="1"/>
  <c r="M34" i="1"/>
  <c r="M99" i="1"/>
  <c r="M120" i="1"/>
  <c r="M101" i="1"/>
  <c r="M113" i="1"/>
  <c r="M105" i="1"/>
  <c r="M104" i="1"/>
  <c r="M100" i="1"/>
  <c r="M111" i="1"/>
  <c r="M121" i="1"/>
  <c r="M114" i="1"/>
  <c r="M106" i="1"/>
  <c r="M116" i="1"/>
  <c r="M109" i="1"/>
  <c r="M112" i="1"/>
  <c r="M89" i="1"/>
  <c r="M98" i="1"/>
  <c r="M119" i="1"/>
  <c r="M102" i="1"/>
  <c r="M118" i="1"/>
  <c r="M110" i="1"/>
  <c r="M103" i="1"/>
  <c r="M117" i="1"/>
  <c r="M108" i="1"/>
  <c r="M48" i="1"/>
  <c r="M97" i="1"/>
  <c r="M88" i="1"/>
  <c r="M53" i="1"/>
  <c r="M52" i="1"/>
  <c r="M51" i="1"/>
  <c r="M49" i="1"/>
  <c r="M54" i="1"/>
  <c r="M13" i="1"/>
  <c r="N13" i="1" s="1"/>
  <c r="M14" i="1"/>
  <c r="N32" i="1" l="1"/>
  <c r="Q32" i="1"/>
  <c r="Q26" i="1"/>
  <c r="N26" i="1"/>
  <c r="Q22" i="1"/>
  <c r="N22" i="1"/>
  <c r="Q27" i="1"/>
  <c r="N27" i="1"/>
  <c r="Q16" i="1"/>
  <c r="N16" i="1"/>
  <c r="Q36" i="1"/>
  <c r="N36" i="1"/>
  <c r="Q19" i="1"/>
  <c r="N19" i="1"/>
  <c r="Q15" i="1"/>
  <c r="N15" i="1"/>
  <c r="Q21" i="1"/>
  <c r="N21" i="1"/>
  <c r="Q35" i="1"/>
  <c r="N35" i="1"/>
  <c r="N30" i="1"/>
  <c r="Q30" i="1"/>
  <c r="Q29" i="1"/>
  <c r="N29" i="1"/>
  <c r="Q23" i="1"/>
  <c r="N23" i="1"/>
  <c r="Q20" i="1"/>
  <c r="N20" i="1"/>
  <c r="Q18" i="1"/>
  <c r="N18" i="1"/>
  <c r="Q31" i="1"/>
  <c r="N31" i="1"/>
  <c r="Q28" i="1"/>
  <c r="N28" i="1"/>
  <c r="N17" i="1"/>
  <c r="Q17" i="1"/>
  <c r="N25" i="1"/>
  <c r="U25" i="1" s="1"/>
  <c r="V25" i="1" s="1"/>
  <c r="N37" i="1"/>
  <c r="U37" i="1" s="1"/>
  <c r="V37" i="1" s="1"/>
  <c r="N200" i="1"/>
  <c r="U200" i="1" s="1"/>
  <c r="V200" i="1" s="1"/>
  <c r="N33" i="1"/>
  <c r="Q33" i="1"/>
  <c r="N34" i="1"/>
  <c r="Q34" i="1"/>
  <c r="N38" i="1"/>
  <c r="Q38" i="1"/>
  <c r="Q13" i="1"/>
  <c r="U13" i="1" s="1"/>
  <c r="M125" i="1"/>
  <c r="M123" i="1"/>
  <c r="M124" i="1"/>
  <c r="M122" i="1"/>
  <c r="M126" i="1"/>
  <c r="Q127" i="1"/>
  <c r="N127" i="1"/>
  <c r="Q89" i="1"/>
  <c r="N89" i="1"/>
  <c r="Q105" i="1"/>
  <c r="N105" i="1"/>
  <c r="N111" i="1"/>
  <c r="Q111" i="1"/>
  <c r="Q100" i="1"/>
  <c r="N100" i="1"/>
  <c r="N113" i="1"/>
  <c r="Q113" i="1"/>
  <c r="Q121" i="1"/>
  <c r="N121" i="1"/>
  <c r="Q108" i="1"/>
  <c r="N108" i="1"/>
  <c r="N112" i="1"/>
  <c r="Q112" i="1"/>
  <c r="N109" i="1"/>
  <c r="Q109" i="1"/>
  <c r="N102" i="1"/>
  <c r="Q102" i="1"/>
  <c r="N119" i="1"/>
  <c r="Q119" i="1"/>
  <c r="Q117" i="1"/>
  <c r="N117" i="1"/>
  <c r="Q116" i="1"/>
  <c r="N116" i="1"/>
  <c r="N101" i="1"/>
  <c r="Q101" i="1"/>
  <c r="Q104" i="1"/>
  <c r="N104" i="1"/>
  <c r="Q103" i="1"/>
  <c r="N103" i="1"/>
  <c r="Q110" i="1"/>
  <c r="N110" i="1"/>
  <c r="Q120" i="1"/>
  <c r="N120" i="1"/>
  <c r="Q98" i="1"/>
  <c r="N98" i="1"/>
  <c r="N114" i="1"/>
  <c r="Q114" i="1"/>
  <c r="N118" i="1"/>
  <c r="Q118" i="1"/>
  <c r="Q106" i="1"/>
  <c r="N106" i="1"/>
  <c r="Q99" i="1"/>
  <c r="N99" i="1"/>
  <c r="Q51" i="1"/>
  <c r="N51" i="1"/>
  <c r="Q52" i="1"/>
  <c r="N52" i="1"/>
  <c r="Q49" i="1"/>
  <c r="N49" i="1"/>
  <c r="Q53" i="1"/>
  <c r="N53" i="1"/>
  <c r="Q88" i="1"/>
  <c r="N88" i="1"/>
  <c r="Q54" i="1"/>
  <c r="N54" i="1"/>
  <c r="N97" i="1"/>
  <c r="Q97" i="1"/>
  <c r="Q48" i="1"/>
  <c r="N48" i="1"/>
  <c r="Q14" i="1"/>
  <c r="N14" i="1"/>
  <c r="U31" i="1" l="1"/>
  <c r="V31" i="1" s="1"/>
  <c r="U29" i="1"/>
  <c r="V29" i="1" s="1"/>
  <c r="U19" i="1"/>
  <c r="V19" i="1" s="1"/>
  <c r="U22" i="1"/>
  <c r="V22" i="1" s="1"/>
  <c r="U20" i="1"/>
  <c r="V20" i="1" s="1"/>
  <c r="U36" i="1"/>
  <c r="V36" i="1" s="1"/>
  <c r="U26" i="1"/>
  <c r="V26" i="1" s="1"/>
  <c r="U28" i="1"/>
  <c r="V28" i="1" s="1"/>
  <c r="U23" i="1"/>
  <c r="V23" i="1" s="1"/>
  <c r="U16" i="1"/>
  <c r="V16" i="1" s="1"/>
  <c r="U18" i="1"/>
  <c r="V18" i="1" s="1"/>
  <c r="U108" i="1"/>
  <c r="V108" i="1" s="1"/>
  <c r="U103" i="1"/>
  <c r="V103" i="1" s="1"/>
  <c r="U15" i="1"/>
  <c r="V15" i="1" s="1"/>
  <c r="U52" i="1"/>
  <c r="V52" i="1" s="1"/>
  <c r="U17" i="1"/>
  <c r="V17" i="1" s="1"/>
  <c r="U89" i="1"/>
  <c r="V89" i="1" s="1"/>
  <c r="U30" i="1"/>
  <c r="V30" i="1" s="1"/>
  <c r="U32" i="1"/>
  <c r="V32" i="1" s="1"/>
  <c r="U35" i="1"/>
  <c r="V35" i="1" s="1"/>
  <c r="U21" i="1"/>
  <c r="V21" i="1" s="1"/>
  <c r="U51" i="1"/>
  <c r="V51" i="1" s="1"/>
  <c r="U106" i="1"/>
  <c r="V106" i="1" s="1"/>
  <c r="U116" i="1"/>
  <c r="V116" i="1" s="1"/>
  <c r="U100" i="1"/>
  <c r="V100" i="1" s="1"/>
  <c r="U48" i="1"/>
  <c r="V48" i="1" s="1"/>
  <c r="U27" i="1"/>
  <c r="V27" i="1" s="1"/>
  <c r="U110" i="1"/>
  <c r="V110" i="1" s="1"/>
  <c r="U117" i="1"/>
  <c r="V117" i="1" s="1"/>
  <c r="U105" i="1"/>
  <c r="V105" i="1" s="1"/>
  <c r="U104" i="1"/>
  <c r="V104" i="1" s="1"/>
  <c r="U33" i="1"/>
  <c r="V33" i="1" s="1"/>
  <c r="U34" i="1"/>
  <c r="V34" i="1" s="1"/>
  <c r="U38" i="1"/>
  <c r="V38" i="1" s="1"/>
  <c r="U53" i="1"/>
  <c r="V53" i="1" s="1"/>
  <c r="U99" i="1"/>
  <c r="V99" i="1" s="1"/>
  <c r="N126" i="1"/>
  <c r="Q126" i="1"/>
  <c r="N122" i="1"/>
  <c r="Q122" i="1"/>
  <c r="U127" i="1"/>
  <c r="V127" i="1" s="1"/>
  <c r="M47" i="1"/>
  <c r="Q124" i="1"/>
  <c r="N124" i="1"/>
  <c r="N123" i="1"/>
  <c r="Q123" i="1"/>
  <c r="Q125" i="1"/>
  <c r="N125" i="1"/>
  <c r="U98" i="1"/>
  <c r="V98" i="1" s="1"/>
  <c r="U102" i="1"/>
  <c r="V102" i="1" s="1"/>
  <c r="U112" i="1"/>
  <c r="V112" i="1" s="1"/>
  <c r="U118" i="1"/>
  <c r="V118" i="1" s="1"/>
  <c r="U120" i="1"/>
  <c r="V120" i="1" s="1"/>
  <c r="M40" i="1"/>
  <c r="U109" i="1"/>
  <c r="V109" i="1" s="1"/>
  <c r="U121" i="1"/>
  <c r="V121" i="1" s="1"/>
  <c r="M41" i="1"/>
  <c r="U101" i="1"/>
  <c r="V101" i="1" s="1"/>
  <c r="U113" i="1"/>
  <c r="V113" i="1" s="1"/>
  <c r="U111" i="1"/>
  <c r="V111" i="1" s="1"/>
  <c r="U114" i="1"/>
  <c r="V114" i="1" s="1"/>
  <c r="M39" i="1"/>
  <c r="U119" i="1"/>
  <c r="V119" i="1" s="1"/>
  <c r="U54" i="1"/>
  <c r="V54" i="1" s="1"/>
  <c r="U88" i="1"/>
  <c r="V88" i="1" s="1"/>
  <c r="U49" i="1"/>
  <c r="V49" i="1" s="1"/>
  <c r="U97" i="1"/>
  <c r="V97" i="1" s="1"/>
  <c r="U14" i="1"/>
  <c r="V14" i="1" s="1"/>
  <c r="V13" i="1"/>
  <c r="M46" i="1" l="1"/>
  <c r="U126" i="1"/>
  <c r="V126" i="1" s="1"/>
  <c r="U123" i="1"/>
  <c r="V123" i="1" s="1"/>
  <c r="M43" i="1"/>
  <c r="U124" i="1"/>
  <c r="V124" i="1" s="1"/>
  <c r="M44" i="1"/>
  <c r="Q47" i="1"/>
  <c r="N47" i="1"/>
  <c r="M45" i="1"/>
  <c r="U125" i="1"/>
  <c r="V125" i="1" s="1"/>
  <c r="M42" i="1"/>
  <c r="U122" i="1"/>
  <c r="V122" i="1" s="1"/>
  <c r="Q39" i="1"/>
  <c r="N39" i="1"/>
  <c r="N41" i="1"/>
  <c r="Q41" i="1"/>
  <c r="Q40" i="1"/>
  <c r="N40" i="1"/>
  <c r="U47" i="1" l="1"/>
  <c r="V47" i="1" s="1"/>
  <c r="U39" i="1"/>
  <c r="V39" i="1" s="1"/>
  <c r="U40" i="1"/>
  <c r="V40" i="1" s="1"/>
  <c r="N42" i="1"/>
  <c r="Q42" i="1"/>
  <c r="N45" i="1"/>
  <c r="Q45" i="1"/>
  <c r="N44" i="1"/>
  <c r="Q44" i="1"/>
  <c r="Q43" i="1"/>
  <c r="N43" i="1"/>
  <c r="Q46" i="1"/>
  <c r="N46" i="1"/>
  <c r="U41" i="1"/>
  <c r="V41" i="1" s="1"/>
  <c r="M50" i="1"/>
  <c r="U43" i="1" l="1"/>
  <c r="V43" i="1" s="1"/>
  <c r="U46" i="1"/>
  <c r="V46" i="1" s="1"/>
  <c r="U44" i="1"/>
  <c r="V44" i="1" s="1"/>
  <c r="U45" i="1"/>
  <c r="V45" i="1" s="1"/>
  <c r="U42" i="1"/>
  <c r="V42" i="1" s="1"/>
  <c r="N50" i="1"/>
  <c r="Q50" i="1"/>
  <c r="U50" i="1" l="1"/>
  <c r="V50" i="1" l="1"/>
  <c r="U201" i="1" l="1"/>
  <c r="V201" i="1"/>
  <c r="J201" i="1"/>
  <c r="M201" i="1"/>
  <c r="N201" i="1"/>
  <c r="Q201" i="1"/>
  <c r="I201" i="1"/>
</calcChain>
</file>

<file path=xl/sharedStrings.xml><?xml version="1.0" encoding="utf-8"?>
<sst xmlns="http://schemas.openxmlformats.org/spreadsheetml/2006/main" count="942" uniqueCount="531">
  <si>
    <t xml:space="preserve"> </t>
  </si>
  <si>
    <t>DEPARTMENT/AGENCY:</t>
  </si>
  <si>
    <t>GUAM DEPARTMENT OF LABOR</t>
  </si>
  <si>
    <t>Input by Department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</si>
  <si>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</si>
  <si>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</si>
  <si>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</si>
  <si>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</si>
  <si>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</si>
  <si>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</si>
  <si>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</si>
  <si>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</si>
  <si>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</si>
  <si>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</si>
  <si>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</si>
  <si>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</si>
  <si>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</si>
  <si>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</si>
  <si>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</si>
  <si>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</si>
  <si>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</si>
  <si>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( R )</t>
  </si>
  <si>
    <t>(S)</t>
  </si>
  <si>
    <t>Increment</t>
  </si>
  <si>
    <t xml:space="preserve">              Benefits</t>
  </si>
  <si>
    <t>Position</t>
  </si>
  <si>
    <t>Name of</t>
  </si>
  <si>
    <t>Grade /</t>
  </si>
  <si>
    <t>( E+F+G+I )</t>
  </si>
  <si>
    <t xml:space="preserve">Retirement </t>
  </si>
  <si>
    <t>Retire (DDI)</t>
  </si>
  <si>
    <t>Social Security</t>
  </si>
  <si>
    <t>Medicare</t>
  </si>
  <si>
    <t>Life</t>
  </si>
  <si>
    <t>Medical</t>
  </si>
  <si>
    <t>Dental</t>
  </si>
  <si>
    <t>Total Benefits</t>
  </si>
  <si>
    <t>( J + R )</t>
  </si>
  <si>
    <t>No.</t>
  </si>
  <si>
    <t>Number</t>
  </si>
  <si>
    <t>Title  1/</t>
  </si>
  <si>
    <t>Incumbent</t>
  </si>
  <si>
    <t>Step</t>
  </si>
  <si>
    <t>Salary</t>
  </si>
  <si>
    <t>Overtime</t>
  </si>
  <si>
    <t>Special*</t>
  </si>
  <si>
    <t>Date</t>
  </si>
  <si>
    <t>Amt.</t>
  </si>
  <si>
    <t>Subtotal</t>
  </si>
  <si>
    <t>(J * 29.43%)</t>
  </si>
  <si>
    <t>($19.01*26PP)</t>
  </si>
  <si>
    <t>(6.2% * J)</t>
  </si>
  <si>
    <t>(1.45% * J)</t>
  </si>
  <si>
    <t>2/</t>
  </si>
  <si>
    <t>( Premium)</t>
  </si>
  <si>
    <t>( K thru Q )</t>
  </si>
  <si>
    <t>TOTAL</t>
  </si>
  <si>
    <t>0100</t>
  </si>
  <si>
    <t xml:space="preserve">DIRECTOR </t>
  </si>
  <si>
    <t>E-T-3</t>
  </si>
  <si>
    <t>0101</t>
  </si>
  <si>
    <t>DEPUTY DIRECTOR</t>
  </si>
  <si>
    <t>TOVES, Gerard**</t>
  </si>
  <si>
    <t>E-R-6</t>
  </si>
  <si>
    <t>0102</t>
  </si>
  <si>
    <t>PLANNER IV</t>
  </si>
  <si>
    <t>RUBIC, Martha</t>
  </si>
  <si>
    <t>O-11</t>
  </si>
  <si>
    <t>0103</t>
  </si>
  <si>
    <t>I-01</t>
  </si>
  <si>
    <t>0104</t>
  </si>
  <si>
    <t>SPECIAL PROJECTS COORDINATOR</t>
  </si>
  <si>
    <t>N-10</t>
  </si>
  <si>
    <t>0105</t>
  </si>
  <si>
    <t>0106</t>
  </si>
  <si>
    <t>PRIVATE SECRETARY</t>
  </si>
  <si>
    <t>I-3</t>
  </si>
  <si>
    <t>0107</t>
  </si>
  <si>
    <t>Customer Service Rep</t>
  </si>
  <si>
    <t>H-01</t>
  </si>
  <si>
    <t>0108</t>
  </si>
  <si>
    <t>0109</t>
  </si>
  <si>
    <t>0110</t>
  </si>
  <si>
    <t>Grand Total:</t>
  </si>
  <si>
    <t>----</t>
  </si>
  <si>
    <t>PROGRAM ADMINISTRATOR</t>
  </si>
  <si>
    <t>MASSEY, Greg</t>
  </si>
  <si>
    <t>N-11</t>
  </si>
  <si>
    <t>1101</t>
  </si>
  <si>
    <t xml:space="preserve">EMP.  DEV. SUPERVISOR </t>
  </si>
  <si>
    <t>MENO, Dorinda R.</t>
  </si>
  <si>
    <t>1102</t>
  </si>
  <si>
    <t xml:space="preserve">EMP. DEV. WORKER III </t>
  </si>
  <si>
    <t>VACANT (UNFUNDED)</t>
  </si>
  <si>
    <t>K-01</t>
  </si>
  <si>
    <t>1103</t>
  </si>
  <si>
    <t>LABOR LAW ENF. SPEC. I</t>
  </si>
  <si>
    <t>1104</t>
  </si>
  <si>
    <t>CUSTOMER SERVICE REP **</t>
  </si>
  <si>
    <t>1105</t>
  </si>
  <si>
    <t xml:space="preserve">LABOR LAW ENF. SPEC. I </t>
  </si>
  <si>
    <t>1106</t>
  </si>
  <si>
    <t>CUSTOMER SERVICE REP</t>
  </si>
  <si>
    <t>CRUZ, Amoretta</t>
  </si>
  <si>
    <t>1107</t>
  </si>
  <si>
    <t>MONTOYA, Carina PR</t>
  </si>
  <si>
    <t>1108</t>
  </si>
  <si>
    <t>CUSTOMER SERVICE REP ***</t>
  </si>
  <si>
    <t xml:space="preserve">SABLAN, Genevene </t>
  </si>
  <si>
    <t>1109</t>
  </si>
  <si>
    <t xml:space="preserve">LABOR LAW ENF. SPEC. II </t>
  </si>
  <si>
    <t>CRUZ, Jessie Ana W</t>
  </si>
  <si>
    <t>1110</t>
  </si>
  <si>
    <t>1111</t>
  </si>
  <si>
    <t>LABOR LAW ENF SPEC III</t>
  </si>
  <si>
    <t xml:space="preserve">ANDERSON, Scott </t>
  </si>
  <si>
    <t>J-08</t>
  </si>
  <si>
    <t>1112</t>
  </si>
  <si>
    <t>1113</t>
  </si>
  <si>
    <t>1114</t>
  </si>
  <si>
    <t>1115</t>
  </si>
  <si>
    <t>TAINATONGO, Kayara *</t>
  </si>
  <si>
    <t xml:space="preserve">SAFETY OFFICER </t>
  </si>
  <si>
    <t>2002</t>
  </si>
  <si>
    <t>FEJERAN, Cyle</t>
  </si>
  <si>
    <t>H-1</t>
  </si>
  <si>
    <t>LLES Supervisor</t>
  </si>
  <si>
    <t>L-1</t>
  </si>
  <si>
    <t>LLE SPECIALIST III</t>
  </si>
  <si>
    <t>VACANT</t>
  </si>
  <si>
    <t>LLE SPECIALIST I</t>
  </si>
  <si>
    <t>LABOR LAW ENF. SPECIALIST II</t>
  </si>
  <si>
    <t xml:space="preserve">LUMBA, Jessica </t>
  </si>
  <si>
    <t>CUSTOMER SERVICE REP.</t>
  </si>
  <si>
    <t>4000</t>
  </si>
  <si>
    <t>RESEARCH &amp; STAT. ADMINISTRATOR</t>
  </si>
  <si>
    <t>O-01</t>
  </si>
  <si>
    <t>4001</t>
  </si>
  <si>
    <t>CHIEF ECONOMIST</t>
  </si>
  <si>
    <t>HILES, Gary</t>
  </si>
  <si>
    <t>4002</t>
  </si>
  <si>
    <t>PROGRAM COORDINATOR IV</t>
  </si>
  <si>
    <t>LIMTIACO, Gerard^</t>
  </si>
  <si>
    <t>4003</t>
  </si>
  <si>
    <t>J-01</t>
  </si>
  <si>
    <t>---</t>
  </si>
  <si>
    <t>4004</t>
  </si>
  <si>
    <t>Research &amp; Statistics Ana. I</t>
  </si>
  <si>
    <t>K-1</t>
  </si>
  <si>
    <t>4005</t>
  </si>
  <si>
    <t>STATISTICIAN I</t>
  </si>
  <si>
    <t>HEFLIN, Marie S.</t>
  </si>
  <si>
    <t>I-20</t>
  </si>
  <si>
    <t>4006</t>
  </si>
  <si>
    <t>LAXAMANA, Mae</t>
  </si>
  <si>
    <t>4007</t>
  </si>
  <si>
    <t>STATISTICAL TECH II</t>
  </si>
  <si>
    <t>PUCHOLONG, Tianna</t>
  </si>
  <si>
    <t>F-01</t>
  </si>
  <si>
    <t>4008</t>
  </si>
  <si>
    <t>STATISTICAL TECHNICIAN II</t>
  </si>
  <si>
    <t>SIREN, Sally (Matching)</t>
  </si>
  <si>
    <t>4009</t>
  </si>
  <si>
    <t>SURVEY WORKER</t>
  </si>
  <si>
    <t>E-1</t>
  </si>
  <si>
    <t>4010</t>
  </si>
  <si>
    <t>4011</t>
  </si>
  <si>
    <t>4012</t>
  </si>
  <si>
    <t>DATA CONTROL CLERK II</t>
  </si>
  <si>
    <t>E-01</t>
  </si>
  <si>
    <t>4013</t>
  </si>
  <si>
    <t>Statistical Techniican I</t>
  </si>
  <si>
    <t>SURVEY SUPERVISOR</t>
  </si>
  <si>
    <t>G-01</t>
  </si>
  <si>
    <t>4015</t>
  </si>
  <si>
    <t>SURVEY WORKER (Unclassified)</t>
  </si>
  <si>
    <t>4016</t>
  </si>
  <si>
    <t>4017</t>
  </si>
  <si>
    <t>4018</t>
  </si>
  <si>
    <t>4019</t>
  </si>
  <si>
    <t>ADA, Eileen (LTA)</t>
  </si>
  <si>
    <t>UNCANGCO, Philla F. *</t>
  </si>
  <si>
    <t>MANGAHAS, Dolores*</t>
  </si>
  <si>
    <t>ARRIOLA, Maria M. *</t>
  </si>
  <si>
    <t>FAIR EMP. PRACTICE OFF.</t>
  </si>
  <si>
    <t>SABLAN, Jeffrey JD</t>
  </si>
  <si>
    <t>5001</t>
  </si>
  <si>
    <t>SUAREZ, Sien CI</t>
  </si>
  <si>
    <t>5002</t>
  </si>
  <si>
    <t>LABOR LAW ENF. SPEC. II**</t>
  </si>
  <si>
    <t>LASTIMOZA, Don</t>
  </si>
  <si>
    <t>5003</t>
  </si>
  <si>
    <t>EMPLOYMENT PROG. ADMIN.</t>
  </si>
  <si>
    <t>FULLERTON, JoAnnalyn</t>
  </si>
  <si>
    <t>6001</t>
  </si>
  <si>
    <t xml:space="preserve">PABLO, Manuel A. </t>
  </si>
  <si>
    <t>L-12</t>
  </si>
  <si>
    <t>6002</t>
  </si>
  <si>
    <t xml:space="preserve">MUNA, Marian P. </t>
  </si>
  <si>
    <t>6003</t>
  </si>
  <si>
    <t>6004</t>
  </si>
  <si>
    <t>DATA CONTROL CLERK I</t>
  </si>
  <si>
    <t xml:space="preserve">FARRELL, Nina M. </t>
  </si>
  <si>
    <t>E-09</t>
  </si>
  <si>
    <t>6005</t>
  </si>
  <si>
    <t>6006</t>
  </si>
  <si>
    <t>WORKERS COMP CLAIM EXAM</t>
  </si>
  <si>
    <t>6007</t>
  </si>
  <si>
    <t>CLAIMS SPECIALIST I</t>
  </si>
  <si>
    <t>8000</t>
  </si>
  <si>
    <t>ADMIN. SERVICES OFFICER(ASO)</t>
  </si>
  <si>
    <t>8001</t>
  </si>
  <si>
    <t>ADMINISTRATIVE ASSISTANT</t>
  </si>
  <si>
    <t>8002</t>
  </si>
  <si>
    <t>8003</t>
  </si>
  <si>
    <t>MANAGEMENT ANALYST I</t>
  </si>
  <si>
    <t>8004</t>
  </si>
  <si>
    <t xml:space="preserve">GUZMAN, Angela </t>
  </si>
  <si>
    <t>8005</t>
  </si>
  <si>
    <t xml:space="preserve">CORDERO, Helen </t>
  </si>
  <si>
    <t>J-07</t>
  </si>
  <si>
    <t>8006</t>
  </si>
  <si>
    <t xml:space="preserve">CUSTOMER SERVICE REP.  </t>
  </si>
  <si>
    <t>8007</t>
  </si>
  <si>
    <t>8008</t>
  </si>
  <si>
    <t>8009</t>
  </si>
  <si>
    <t>8010</t>
  </si>
  <si>
    <t>C-01</t>
  </si>
  <si>
    <t>8011</t>
  </si>
  <si>
    <t>FEDERAL PROGRAM EXAM I</t>
  </si>
  <si>
    <t>8012</t>
  </si>
  <si>
    <t>J-02</t>
  </si>
  <si>
    <t>8013</t>
  </si>
  <si>
    <t xml:space="preserve">SABLAN, Navis </t>
  </si>
  <si>
    <t>8014</t>
  </si>
  <si>
    <t xml:space="preserve">ADMINISTRATIVE ASSISTANT </t>
  </si>
  <si>
    <t>8015</t>
  </si>
  <si>
    <t>ACCOUNTING TECH. II</t>
  </si>
  <si>
    <t>8016</t>
  </si>
  <si>
    <t>8017</t>
  </si>
  <si>
    <t>ACCOUNTING TECH. I</t>
  </si>
  <si>
    <t>8018</t>
  </si>
  <si>
    <t>8019</t>
  </si>
  <si>
    <t>8020</t>
  </si>
  <si>
    <t>8021</t>
  </si>
  <si>
    <t>CLERK II</t>
  </si>
  <si>
    <t>D-01</t>
  </si>
  <si>
    <t>8022</t>
  </si>
  <si>
    <t>ACCOUNTING TECH III</t>
  </si>
  <si>
    <t>8023</t>
  </si>
  <si>
    <t xml:space="preserve">ACCOUNTING TECH  I </t>
  </si>
  <si>
    <t>8024</t>
  </si>
  <si>
    <t xml:space="preserve">BUDGET ANALYST </t>
  </si>
  <si>
    <t>TING, Coriann</t>
  </si>
  <si>
    <t>8025</t>
  </si>
  <si>
    <t>PLANNER II</t>
  </si>
  <si>
    <t>CRUZ, Shirley</t>
  </si>
  <si>
    <t xml:space="preserve">CARRERA, Janela </t>
  </si>
  <si>
    <t xml:space="preserve">LIZAMA, Katherina </t>
  </si>
  <si>
    <t>LIZAMA. Jaeana</t>
  </si>
  <si>
    <t>MAFNAS, Mariquita</t>
  </si>
  <si>
    <t>VACANT(UNFUNDED)</t>
  </si>
  <si>
    <t>PEREZ, Rosanna</t>
  </si>
  <si>
    <t xml:space="preserve">MAFNAS, V. Helen </t>
  </si>
  <si>
    <t xml:space="preserve">DELL'ISOLA, David  </t>
  </si>
  <si>
    <t>1000</t>
  </si>
  <si>
    <t>EMP PROGRAM ADMINISTRATOR</t>
  </si>
  <si>
    <t>N-05</t>
  </si>
  <si>
    <t>1001</t>
  </si>
  <si>
    <t>EMP DEVELOPMENT WORKER III</t>
  </si>
  <si>
    <t>CARINO, Virginia</t>
  </si>
  <si>
    <t>1002</t>
  </si>
  <si>
    <t>EMP DEVELOPMENT WORKER II</t>
  </si>
  <si>
    <t>1003</t>
  </si>
  <si>
    <t>MALSOL, Kenneth</t>
  </si>
  <si>
    <t>1004</t>
  </si>
  <si>
    <t>1005</t>
  </si>
  <si>
    <t>EMP DEVELOPMENT WORKER I</t>
  </si>
  <si>
    <t>1006</t>
  </si>
  <si>
    <t>PEREDA, Peter****</t>
  </si>
  <si>
    <t>1007</t>
  </si>
  <si>
    <t>CONCEPCION, Jorgeane</t>
  </si>
  <si>
    <t>1008</t>
  </si>
  <si>
    <t>1009</t>
  </si>
  <si>
    <t>1013</t>
  </si>
  <si>
    <t>PLANNER I ^^</t>
  </si>
  <si>
    <t>1010</t>
  </si>
  <si>
    <t>Administrative Aide</t>
  </si>
  <si>
    <t>1011</t>
  </si>
  <si>
    <t>OFFICE AIDE</t>
  </si>
  <si>
    <t>C-1</t>
  </si>
  <si>
    <t>1012</t>
  </si>
  <si>
    <t>OFFICE AIDE**</t>
  </si>
  <si>
    <t>8100</t>
  </si>
  <si>
    <t>SYS. &amp; PROG. ADMINISTRATOR</t>
  </si>
  <si>
    <t>TOPASNA, Ryan*</t>
  </si>
  <si>
    <t>P-09</t>
  </si>
  <si>
    <t>8101</t>
  </si>
  <si>
    <t>8102</t>
  </si>
  <si>
    <t>COMPUTER OPERATOR I</t>
  </si>
  <si>
    <t>8103</t>
  </si>
  <si>
    <t>GONZALES, Valerie*</t>
  </si>
  <si>
    <t>8104</t>
  </si>
  <si>
    <t>8105</t>
  </si>
  <si>
    <t>8106</t>
  </si>
  <si>
    <t>LEON GUERRERO, Kent</t>
  </si>
  <si>
    <t>1501</t>
  </si>
  <si>
    <t>EMP. DEV. WORKER III</t>
  </si>
  <si>
    <t>SALAS, LINDA N.</t>
  </si>
  <si>
    <t>1502</t>
  </si>
  <si>
    <t>1503</t>
  </si>
  <si>
    <t>EMP. DEV. WORKER II</t>
  </si>
  <si>
    <t>J-1</t>
  </si>
  <si>
    <t>1504</t>
  </si>
  <si>
    <t>EMP. DEV. WORKER SUPV</t>
  </si>
  <si>
    <t>1505</t>
  </si>
  <si>
    <t>BAUMGARTNER, Maria</t>
  </si>
  <si>
    <t>1506</t>
  </si>
  <si>
    <t>EMP. DEV. WORKER I</t>
  </si>
  <si>
    <t>CAMACHO, Alexandra</t>
  </si>
  <si>
    <t>1507</t>
  </si>
  <si>
    <t>EMP. PROGRAM ADMN</t>
  </si>
  <si>
    <t>1508</t>
  </si>
  <si>
    <t xml:space="preserve">PEREDO, Jaylee </t>
  </si>
  <si>
    <t>1509</t>
  </si>
  <si>
    <t xml:space="preserve">HERNANDEZ, Ibarra L.A. </t>
  </si>
  <si>
    <t>1510</t>
  </si>
  <si>
    <t>1511</t>
  </si>
  <si>
    <t>1512</t>
  </si>
  <si>
    <t>1513</t>
  </si>
  <si>
    <t>CAMACHO, Theresa</t>
  </si>
  <si>
    <t>RIVERA, Vanessa</t>
  </si>
  <si>
    <t>K-5</t>
  </si>
  <si>
    <t>MENO, Tilda</t>
  </si>
  <si>
    <t>8200</t>
  </si>
  <si>
    <t>8201</t>
  </si>
  <si>
    <t>PLANNER I</t>
  </si>
  <si>
    <t>8202</t>
  </si>
  <si>
    <t>PROGRAM COORDINATOR I</t>
  </si>
  <si>
    <t>8203</t>
  </si>
  <si>
    <t>PROGRAM COORDINATOR II</t>
  </si>
  <si>
    <t>M-1</t>
  </si>
  <si>
    <t>SEE POSITION# 1507</t>
  </si>
  <si>
    <t>SEE POSITION# 0102</t>
  </si>
  <si>
    <t>1400</t>
  </si>
  <si>
    <t>SPECIAL PROGRAM COORDNATOR</t>
  </si>
  <si>
    <t>VACANT (UNFUNDED)*</t>
  </si>
  <si>
    <t>1401</t>
  </si>
  <si>
    <t>1402</t>
  </si>
  <si>
    <t>VACANT (UNFUNDED) ^^</t>
  </si>
  <si>
    <t>1403</t>
  </si>
  <si>
    <t>1301</t>
  </si>
  <si>
    <t>CUSTOMER SERVICE REPRESENTATIVE</t>
  </si>
  <si>
    <t>1302</t>
  </si>
  <si>
    <t>1303</t>
  </si>
  <si>
    <t>1304</t>
  </si>
  <si>
    <t>VALENCIA, Christian***</t>
  </si>
  <si>
    <t>1300</t>
  </si>
  <si>
    <t>1200</t>
  </si>
  <si>
    <t>EMP. PROGRAM ADMINISTR</t>
  </si>
  <si>
    <t>GUTIERREZ, Dorothy</t>
  </si>
  <si>
    <t>1201</t>
  </si>
  <si>
    <t>1202</t>
  </si>
  <si>
    <t>CUSTOMER SERVICE REP. ^^^^</t>
  </si>
  <si>
    <t>1203</t>
  </si>
  <si>
    <t>1204</t>
  </si>
  <si>
    <t xml:space="preserve">MARIUR, Angeles </t>
  </si>
  <si>
    <t>1205</t>
  </si>
  <si>
    <t xml:space="preserve">MANAGEMENT ANALYST I </t>
  </si>
  <si>
    <t>UNTALAN, Paulani</t>
  </si>
  <si>
    <t>9000</t>
  </si>
  <si>
    <t>9001</t>
  </si>
  <si>
    <t>QUINTANILLA, Shane</t>
  </si>
  <si>
    <t>9002</t>
  </si>
  <si>
    <t>9003</t>
  </si>
  <si>
    <t>PROGRAM COORDINATOR III</t>
  </si>
  <si>
    <t>1800</t>
  </si>
  <si>
    <t>TOPASNA, Phyllis</t>
  </si>
  <si>
    <t>1801</t>
  </si>
  <si>
    <t>1802</t>
  </si>
  <si>
    <t>1803</t>
  </si>
  <si>
    <t>1804</t>
  </si>
  <si>
    <t>NDWG-01</t>
  </si>
  <si>
    <t>Program Coordinator II</t>
  </si>
  <si>
    <t xml:space="preserve">ESCRUPULO, Ewalani </t>
  </si>
  <si>
    <t>NDWG-02</t>
  </si>
  <si>
    <t>Office Aide</t>
  </si>
  <si>
    <t>NDWG-03</t>
  </si>
  <si>
    <t>Customer Service Representative</t>
  </si>
  <si>
    <t>NDWG-04</t>
  </si>
  <si>
    <t>TYQUIENGCO, Amilyn*</t>
  </si>
  <si>
    <t>NDWG-05</t>
  </si>
  <si>
    <t>CRUZ, Thea</t>
  </si>
  <si>
    <t>NDWG-06</t>
  </si>
  <si>
    <t>NDWG-07</t>
  </si>
  <si>
    <t>Employment Development Wkr I</t>
  </si>
  <si>
    <t>NDWG-08</t>
  </si>
  <si>
    <t>NDWG-09</t>
  </si>
  <si>
    <t>NDWG-10</t>
  </si>
  <si>
    <t>PUA-006</t>
  </si>
  <si>
    <t xml:space="preserve">VACANT  </t>
  </si>
  <si>
    <t>PUA-008</t>
  </si>
  <si>
    <t>PUA-009</t>
  </si>
  <si>
    <t>ESTEVES, Mariah</t>
  </si>
  <si>
    <t>PUA-004</t>
  </si>
  <si>
    <t xml:space="preserve">CRUZ, Tabitha </t>
  </si>
  <si>
    <t>COLLECTION AGENT SUP</t>
  </si>
  <si>
    <t>PUA-019</t>
  </si>
  <si>
    <t xml:space="preserve">FLORES, Kayleen </t>
  </si>
  <si>
    <t>COLLECTION AGENT</t>
  </si>
  <si>
    <t>PUA-021</t>
  </si>
  <si>
    <t>PUA-022</t>
  </si>
  <si>
    <t>PUA-025</t>
  </si>
  <si>
    <t>PUA-045</t>
  </si>
  <si>
    <t xml:space="preserve">FED PROGRAMS EXAMINER I </t>
  </si>
  <si>
    <t>GUERRERO, Ciara L.M.</t>
  </si>
  <si>
    <t>PUA-046</t>
  </si>
  <si>
    <t>PUA-053</t>
  </si>
  <si>
    <t>PUA-055</t>
  </si>
  <si>
    <t>2100</t>
  </si>
  <si>
    <t>PANGELINAN, Jesse**</t>
  </si>
  <si>
    <t>2105</t>
  </si>
  <si>
    <t>ADMINISTRATIVE AIDE</t>
  </si>
  <si>
    <t xml:space="preserve">VACANT (Unfunded) </t>
  </si>
  <si>
    <t>NEDEDOG, Crystiann *</t>
  </si>
  <si>
    <t>2106</t>
  </si>
  <si>
    <t>2101</t>
  </si>
  <si>
    <t>SAFETY INSPECTOR III</t>
  </si>
  <si>
    <t>PEREZ, Kinny L.G.</t>
  </si>
  <si>
    <t>2102</t>
  </si>
  <si>
    <t xml:space="preserve">RIOS, Michael J. </t>
  </si>
  <si>
    <t>2103</t>
  </si>
  <si>
    <t>ENV. HEALTH SPEC. I</t>
  </si>
  <si>
    <t>2104</t>
  </si>
  <si>
    <t>SAFETY INSPECTOR II</t>
  </si>
  <si>
    <t>BLAS, Katrina</t>
  </si>
  <si>
    <t>ZACARIAS, Ivonne</t>
  </si>
  <si>
    <t>TORRES, Ana Marie</t>
  </si>
  <si>
    <t>TOPASNA, Ernisha</t>
  </si>
  <si>
    <t>DUENAS, Erica</t>
  </si>
  <si>
    <t>DUA-020</t>
  </si>
  <si>
    <t>LACAP, Adrian</t>
  </si>
  <si>
    <t>CASTRO, Jocelyn</t>
  </si>
  <si>
    <t>MARTINEZ, Maura</t>
  </si>
  <si>
    <t>SANCHEZ, Ashley</t>
  </si>
  <si>
    <t>TRINIDAD, Maisie</t>
  </si>
  <si>
    <t>Funding</t>
  </si>
  <si>
    <t>Source</t>
  </si>
  <si>
    <t>Special Funds</t>
  </si>
  <si>
    <t>MDF Overcollections</t>
  </si>
  <si>
    <t>Federal Funds - WIOA</t>
  </si>
  <si>
    <t>Federal Funds - SCSEP Grant</t>
  </si>
  <si>
    <t>Federal Funds - Apprenticeship Expansion Grant</t>
  </si>
  <si>
    <t>Federal Funds - OSHA Grant</t>
  </si>
  <si>
    <t>Federal Funds - BLS Grant     Special Funds</t>
  </si>
  <si>
    <t>Local Matching               Federal - BLS OSHS Grant</t>
  </si>
  <si>
    <t>Hire Date</t>
  </si>
  <si>
    <t>Recent</t>
  </si>
  <si>
    <t>Most</t>
  </si>
  <si>
    <t>Federal Funds - SCSEP Technology Grant</t>
  </si>
  <si>
    <t>1/7/2019</t>
  </si>
  <si>
    <t>3/5/1989</t>
  </si>
  <si>
    <t>SHIROMA, Camarin</t>
  </si>
  <si>
    <t>SAFETY ADMINISTRATOR</t>
  </si>
  <si>
    <t>WORKERS COMP. CLAIM EXAM II</t>
  </si>
  <si>
    <t>MENO, Nicole C.</t>
  </si>
  <si>
    <t>AGUON, Jovonne M.</t>
  </si>
  <si>
    <t>GOGUE, Nicolette</t>
  </si>
  <si>
    <t>CRUZ, Brandon</t>
  </si>
  <si>
    <t>ANDERSON, Jay</t>
  </si>
  <si>
    <t>PEREDA, Rose</t>
  </si>
  <si>
    <t>Collection Agent</t>
  </si>
  <si>
    <t>VACANT (TEMP)</t>
  </si>
  <si>
    <t xml:space="preserve">Federal Funds - Wagner Peyser </t>
  </si>
  <si>
    <t>Federal Funds - PUA</t>
  </si>
  <si>
    <t>Federal Funds - NDWG</t>
  </si>
  <si>
    <t>Federal Funds - DUA</t>
  </si>
  <si>
    <t>Federal Funds - JVSG</t>
  </si>
  <si>
    <t>0111</t>
  </si>
  <si>
    <t>QUIBLAT, Keith J</t>
  </si>
  <si>
    <t>TING, Loriann BC</t>
  </si>
  <si>
    <t>YOUNG, Jenna</t>
  </si>
  <si>
    <t>LABOR LAW ENF SPEC II</t>
  </si>
  <si>
    <t>CSR IN LIEU OF LLES I</t>
  </si>
  <si>
    <t>CABACUNGAN, Nenita</t>
  </si>
  <si>
    <t xml:space="preserve">COMPUTER OPERATOR II </t>
  </si>
  <si>
    <t>ASSISTANT ECONOMIST</t>
  </si>
  <si>
    <t>PALOMO, Kiana</t>
  </si>
  <si>
    <t>TOVES, Jordan</t>
  </si>
  <si>
    <t>EMPLOYMENT RELATIONS REP.</t>
  </si>
  <si>
    <t>FY 2025 2nd Quarter</t>
  </si>
  <si>
    <t>SANCHEZ, Kahllyah Gail</t>
  </si>
  <si>
    <t>CANLAS, Rosannalynn</t>
  </si>
  <si>
    <t>H-06</t>
  </si>
  <si>
    <t>I-02</t>
  </si>
  <si>
    <t>J-8</t>
  </si>
  <si>
    <t>M-04</t>
  </si>
  <si>
    <t>M-06</t>
  </si>
  <si>
    <t>COLLECTION AGENT in lieu of COLLECTION AGENT SUPERVISOR</t>
  </si>
  <si>
    <t>AVERRE, Tabitha</t>
  </si>
  <si>
    <t>J-2</t>
  </si>
  <si>
    <t>J-9</t>
  </si>
  <si>
    <t>K-2</t>
  </si>
  <si>
    <t>COMPUTER OPERATOR I in lieu of CO II</t>
  </si>
  <si>
    <t>SURBER, Louvana</t>
  </si>
  <si>
    <t>K-10</t>
  </si>
  <si>
    <t>K-02</t>
  </si>
  <si>
    <t>J-04</t>
  </si>
  <si>
    <t>MENDIOLA, Ginanna</t>
  </si>
  <si>
    <t xml:space="preserve">QUINTANILLA, Nika </t>
  </si>
  <si>
    <t>WORKERS COMP. CLAIM EXAM I</t>
  </si>
  <si>
    <t>H-04</t>
  </si>
  <si>
    <t>I-7</t>
  </si>
  <si>
    <t>I-07</t>
  </si>
  <si>
    <t>K-13</t>
  </si>
  <si>
    <t>K-6</t>
  </si>
  <si>
    <t>N-6</t>
  </si>
  <si>
    <t>CARBULLIDO, ARLENE</t>
  </si>
  <si>
    <t>11/302025</t>
  </si>
  <si>
    <t>Q-08</t>
  </si>
  <si>
    <t>M-4</t>
  </si>
  <si>
    <t>OFFICE AIDE in lieu of CSR</t>
  </si>
  <si>
    <t>VACANT - RECRUITMENT</t>
  </si>
  <si>
    <t>Employment Development Wkr III</t>
  </si>
  <si>
    <t xml:space="preserve">VACANT </t>
  </si>
  <si>
    <t>Underfilled by Sablan, Navis</t>
  </si>
  <si>
    <t>N-07</t>
  </si>
  <si>
    <t>J-12</t>
  </si>
  <si>
    <t>LLE SPECIALIST I (in lieu of LLES II)</t>
  </si>
  <si>
    <t>Q-12</t>
  </si>
  <si>
    <t>CUSTOMER SERVICE REPRESENTATIVE in lieu of COLLECTION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</si>
</sst>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>
    <font>
      <sz val="12"/>
      <name val="SWISS"/>
    </font>
    <font>
      <sz val="12"/>
      <name val="SWISS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SWISS"/>
    </font>
    <font>
      <sz val="8"/>
      <color indexed="8"/>
      <name val="SWISS"/>
    </font>
    <font>
      <sz val="8"/>
      <name val="SWISS"/>
    </font>
    <font>
      <b/>
      <sz val="8"/>
      <name val="Times New Roman"/>
      <family val="1"/>
    </font>
    <font>
      <sz val="8"/>
      <name val="Times New Roman"/>
      <family val="1"/>
    </font>
    <font>
      <b/>
      <sz val="7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7"/>
      <name val="Times New Roman"/>
      <family val="1"/>
    </font>
    <font>
      <b/>
      <sz val="8"/>
      <name val="SWISS"/>
    </font>
    <font>
      <sz val="8"/>
      <color rgb="FFFF0000"/>
      <name val="SWISS"/>
    </font>
    <font>
      <sz val="8"/>
      <color rgb="FFFFFF00"/>
      <name val="SWISS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lightGray">
        <bgColor indexed="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/>
  </cellStyleXfs>
  <cellXfs count="219">
    <xf numFmtId="37" fontId="0" fillId="0" borderId="0" xfId="0"/>
    <xf numFmtId="37" fontId="2" fillId="0" borderId="0" xfId="0" applyFont="1"/>
    <xf numFmtId="37" fontId="3" fillId="0" borderId="0" xfId="0" applyFont="1"/>
    <xf numFmtId="37" fontId="4" fillId="0" borderId="0" xfId="0" applyFont="1"/>
    <xf numFmtId="37" fontId="5" fillId="0" borderId="0" xfId="0" applyFont="1"/>
    <xf numFmtId="37" fontId="6" fillId="0" borderId="0" xfId="0" applyFont="1"/>
    <xf numFmtId="37" fontId="7" fillId="0" borderId="0" xfId="0" applyFont="1"/>
    <xf numFmtId="37" fontId="4" fillId="0" borderId="0" xfId="0" applyFont="1" applyProtection="1">
      <protection locked="0"/>
    </xf>
    <xf numFmtId="37" fontId="2" fillId="0" borderId="0" xfId="0" applyFont="1" applyAlignment="1">
      <alignment horizontal="center"/>
    </xf>
    <xf numFmtId="37" fontId="2" fillId="2" borderId="1" xfId="0" applyFont="1" applyFill="1" applyBorder="1" applyAlignment="1">
      <alignment horizontal="centerContinuous"/>
    </xf>
    <xf numFmtId="37" fontId="2" fillId="2" borderId="2" xfId="0" applyFont="1" applyFill="1" applyBorder="1" applyAlignment="1">
      <alignment horizontal="centerContinuous"/>
    </xf>
    <xf numFmtId="37" fontId="2" fillId="0" borderId="4" xfId="0" applyFont="1" applyBorder="1"/>
    <xf numFmtId="37" fontId="2" fillId="0" borderId="4" xfId="0" quotePrefix="1" applyFont="1" applyBorder="1" applyAlignment="1">
      <alignment horizontal="center"/>
    </xf>
    <xf numFmtId="37" fontId="2" fillId="0" borderId="6" xfId="0" quotePrefix="1" applyFont="1" applyBorder="1" applyAlignment="1">
      <alignment horizontal="center"/>
    </xf>
    <xf numFmtId="37" fontId="2" fillId="0" borderId="0" xfId="0" quotePrefix="1" applyFont="1" applyAlignment="1">
      <alignment horizontal="center"/>
    </xf>
    <xf numFmtId="37" fontId="2" fillId="0" borderId="7" xfId="0" quotePrefix="1" applyFont="1" applyBorder="1" applyAlignment="1">
      <alignment horizontal="center"/>
    </xf>
    <xf numFmtId="37" fontId="2" fillId="0" borderId="9" xfId="0" quotePrefix="1" applyFont="1" applyBorder="1" applyAlignment="1">
      <alignment horizontal="center"/>
    </xf>
    <xf numFmtId="37" fontId="8" fillId="0" borderId="0" xfId="0" applyFont="1" applyAlignment="1">
      <alignment horizontal="center"/>
    </xf>
    <xf numFmtId="37" fontId="2" fillId="3" borderId="10" xfId="0" applyFont="1" applyFill="1" applyBorder="1" applyAlignment="1">
      <alignment horizontal="center"/>
    </xf>
    <xf numFmtId="37" fontId="2" fillId="4" borderId="11" xfId="0" applyFont="1" applyFill="1" applyBorder="1" applyAlignment="1">
      <alignment horizontal="center"/>
    </xf>
    <xf numFmtId="37" fontId="2" fillId="4" borderId="0" xfId="0" applyFont="1" applyFill="1"/>
    <xf numFmtId="37" fontId="2" fillId="4" borderId="12" xfId="0" applyFont="1" applyFill="1" applyBorder="1" applyAlignment="1">
      <alignment horizontal="center"/>
    </xf>
    <xf numFmtId="37" fontId="2" fillId="4" borderId="13" xfId="0" applyFont="1" applyFill="1" applyBorder="1" applyAlignment="1">
      <alignment horizontal="center"/>
    </xf>
    <xf numFmtId="37" fontId="2" fillId="3" borderId="14" xfId="0" applyFont="1" applyFill="1" applyBorder="1" applyAlignment="1">
      <alignment horizontal="center"/>
    </xf>
    <xf numFmtId="37" fontId="2" fillId="3" borderId="18" xfId="0" applyFont="1" applyFill="1" applyBorder="1" applyAlignment="1">
      <alignment horizontal="center"/>
    </xf>
    <xf numFmtId="37" fontId="5" fillId="0" borderId="0" xfId="0" applyFont="1" applyAlignment="1">
      <alignment horizontal="center"/>
    </xf>
    <xf numFmtId="37" fontId="2" fillId="3" borderId="19" xfId="0" applyFont="1" applyFill="1" applyBorder="1" applyAlignment="1">
      <alignment horizontal="center"/>
    </xf>
    <xf numFmtId="37" fontId="2" fillId="4" borderId="20" xfId="0" applyFont="1" applyFill="1" applyBorder="1" applyAlignment="1">
      <alignment horizontal="center"/>
    </xf>
    <xf numFmtId="37" fontId="2" fillId="3" borderId="0" xfId="0" applyFont="1" applyFill="1" applyAlignment="1">
      <alignment horizontal="center"/>
    </xf>
    <xf numFmtId="37" fontId="2" fillId="3" borderId="12" xfId="0" applyFont="1" applyFill="1" applyBorder="1" applyAlignment="1">
      <alignment horizontal="center"/>
    </xf>
    <xf numFmtId="37" fontId="2" fillId="3" borderId="21" xfId="0" applyFont="1" applyFill="1" applyBorder="1" applyAlignment="1">
      <alignment horizontal="center"/>
    </xf>
    <xf numFmtId="37" fontId="2" fillId="3" borderId="22" xfId="0" applyFont="1" applyFill="1" applyBorder="1" applyAlignment="1">
      <alignment horizontal="center"/>
    </xf>
    <xf numFmtId="37" fontId="2" fillId="4" borderId="23" xfId="0" applyFont="1" applyFill="1" applyBorder="1" applyAlignment="1">
      <alignment horizontal="center"/>
    </xf>
    <xf numFmtId="37" fontId="2" fillId="4" borderId="24" xfId="0" applyFont="1" applyFill="1" applyBorder="1" applyAlignment="1">
      <alignment horizontal="center"/>
    </xf>
    <xf numFmtId="37" fontId="2" fillId="3" borderId="27" xfId="0" applyFont="1" applyFill="1" applyBorder="1" applyAlignment="1">
      <alignment horizontal="center"/>
    </xf>
    <xf numFmtId="37" fontId="2" fillId="0" borderId="28" xfId="0" applyFont="1" applyBorder="1" applyAlignment="1">
      <alignment horizontal="center"/>
    </xf>
    <xf numFmtId="37" fontId="2" fillId="3" borderId="28" xfId="0" applyFont="1" applyFill="1" applyBorder="1" applyAlignment="1">
      <alignment horizontal="center"/>
    </xf>
    <xf numFmtId="39" fontId="2" fillId="3" borderId="22" xfId="0" applyNumberFormat="1" applyFont="1" applyFill="1" applyBorder="1" applyAlignment="1">
      <alignment horizontal="center"/>
    </xf>
    <xf numFmtId="164" fontId="5" fillId="0" borderId="0" xfId="2" applyNumberFormat="1" applyFont="1" applyFill="1" applyAlignment="1" applyProtection="1">
      <alignment horizontal="center"/>
    </xf>
    <xf numFmtId="37" fontId="2" fillId="0" borderId="30" xfId="0" applyFont="1" applyBorder="1" applyAlignment="1">
      <alignment horizontal="center"/>
    </xf>
    <xf numFmtId="49" fontId="2" fillId="0" borderId="28" xfId="0" applyNumberFormat="1" applyFont="1" applyBorder="1" applyAlignment="1" applyProtection="1">
      <alignment horizontal="center"/>
      <protection locked="0"/>
    </xf>
    <xf numFmtId="5" fontId="2" fillId="0" borderId="28" xfId="0" applyNumberFormat="1" applyFont="1" applyBorder="1" applyProtection="1">
      <protection locked="0"/>
    </xf>
    <xf numFmtId="5" fontId="2" fillId="0" borderId="30" xfId="0" applyNumberFormat="1" applyFont="1" applyBorder="1" applyAlignment="1">
      <alignment horizontal="right"/>
    </xf>
    <xf numFmtId="6" fontId="2" fillId="0" borderId="30" xfId="0" applyNumberFormat="1" applyFont="1" applyBorder="1" applyAlignment="1" applyProtection="1">
      <alignment horizontal="right"/>
      <protection locked="0"/>
    </xf>
    <xf numFmtId="14" fontId="5" fillId="0" borderId="0" xfId="0" applyNumberFormat="1" applyFont="1"/>
    <xf numFmtId="37" fontId="2" fillId="0" borderId="30" xfId="0" applyFont="1" applyBorder="1" applyAlignment="1">
      <alignment horizontal="right"/>
    </xf>
    <xf numFmtId="49" fontId="2" fillId="0" borderId="30" xfId="0" applyNumberFormat="1" applyFont="1" applyBorder="1" applyAlignment="1" applyProtection="1">
      <alignment horizontal="center"/>
      <protection locked="0"/>
    </xf>
    <xf numFmtId="37" fontId="8" fillId="0" borderId="31" xfId="0" applyFont="1" applyBorder="1" applyAlignment="1" applyProtection="1">
      <alignment horizontal="left" wrapText="1"/>
      <protection locked="0"/>
    </xf>
    <xf numFmtId="37" fontId="2" fillId="0" borderId="30" xfId="0" applyFont="1" applyBorder="1"/>
    <xf numFmtId="37" fontId="8" fillId="0" borderId="30" xfId="0" quotePrefix="1" applyFont="1" applyBorder="1" applyAlignment="1">
      <alignment horizontal="center"/>
    </xf>
    <xf numFmtId="37" fontId="8" fillId="0" borderId="30" xfId="0" quotePrefix="1" applyFont="1" applyBorder="1" applyAlignment="1" applyProtection="1">
      <alignment horizontal="center"/>
      <protection locked="0"/>
    </xf>
    <xf numFmtId="37" fontId="2" fillId="0" borderId="30" xfId="0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>
      <alignment horizontal="center"/>
    </xf>
    <xf numFmtId="37" fontId="2" fillId="6" borderId="30" xfId="0" applyFont="1" applyFill="1" applyBorder="1"/>
    <xf numFmtId="37" fontId="2" fillId="0" borderId="32" xfId="0" applyFont="1" applyBorder="1" applyAlignment="1">
      <alignment horizontal="center"/>
    </xf>
    <xf numFmtId="5" fontId="2" fillId="0" borderId="30" xfId="0" applyNumberFormat="1" applyFont="1" applyBorder="1"/>
    <xf numFmtId="37" fontId="2" fillId="4" borderId="12" xfId="0" applyFont="1" applyFill="1" applyBorder="1" applyAlignment="1">
      <alignment horizontal="center" wrapText="1"/>
    </xf>
    <xf numFmtId="37" fontId="2" fillId="4" borderId="13" xfId="0" applyFont="1" applyFill="1" applyBorder="1" applyAlignment="1">
      <alignment horizontal="center" wrapText="1"/>
    </xf>
    <xf numFmtId="49" fontId="2" fillId="0" borderId="28" xfId="0" applyNumberFormat="1" applyFont="1" applyBorder="1" applyAlignment="1" applyProtection="1">
      <alignment horizontal="left"/>
      <protection locked="0"/>
    </xf>
    <xf numFmtId="49" fontId="8" fillId="0" borderId="28" xfId="0" applyNumberFormat="1" applyFont="1" applyBorder="1" applyAlignment="1" applyProtection="1">
      <alignment horizontal="center"/>
      <protection locked="0"/>
    </xf>
    <xf numFmtId="37" fontId="8" fillId="0" borderId="30" xfId="0" applyFont="1" applyBorder="1" applyProtection="1">
      <protection locked="0"/>
    </xf>
    <xf numFmtId="37" fontId="8" fillId="0" borderId="30" xfId="0" applyFont="1" applyBorder="1"/>
    <xf numFmtId="37" fontId="8" fillId="0" borderId="28" xfId="0" applyFont="1" applyBorder="1" applyProtection="1">
      <protection locked="0"/>
    </xf>
    <xf numFmtId="37" fontId="8" fillId="0" borderId="30" xfId="0" applyFont="1" applyBorder="1" applyAlignment="1">
      <alignment horizontal="right"/>
    </xf>
    <xf numFmtId="49" fontId="8" fillId="0" borderId="30" xfId="0" applyNumberFormat="1" applyFont="1" applyBorder="1" applyAlignment="1" applyProtection="1">
      <alignment horizontal="center"/>
      <protection locked="0"/>
    </xf>
    <xf numFmtId="38" fontId="8" fillId="0" borderId="30" xfId="0" applyNumberFormat="1" applyFont="1" applyBorder="1" applyProtection="1">
      <protection locked="0"/>
    </xf>
    <xf numFmtId="49" fontId="8" fillId="0" borderId="30" xfId="0" applyNumberFormat="1" applyFont="1" applyBorder="1" applyAlignment="1" applyProtection="1">
      <alignment horizontal="left"/>
      <protection locked="0"/>
    </xf>
    <xf numFmtId="37" fontId="2" fillId="0" borderId="30" xfId="0" quotePrefix="1" applyFont="1" applyBorder="1" applyAlignment="1" applyProtection="1">
      <alignment horizontal="center"/>
      <protection locked="0"/>
    </xf>
    <xf numFmtId="5" fontId="8" fillId="0" borderId="28" xfId="0" applyNumberFormat="1" applyFont="1" applyBorder="1"/>
    <xf numFmtId="5" fontId="8" fillId="0" borderId="28" xfId="0" applyNumberFormat="1" applyFont="1" applyBorder="1" applyProtection="1">
      <protection locked="0"/>
    </xf>
    <xf numFmtId="5" fontId="8" fillId="0" borderId="30" xfId="0" applyNumberFormat="1" applyFont="1" applyBorder="1" applyAlignment="1">
      <alignment horizontal="right"/>
    </xf>
    <xf numFmtId="37" fontId="8" fillId="0" borderId="30" xfId="0" applyFont="1" applyBorder="1" applyAlignment="1" applyProtection="1">
      <alignment horizontal="center"/>
      <protection locked="0"/>
    </xf>
    <xf numFmtId="37" fontId="8" fillId="0" borderId="28" xfId="0" quotePrefix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>
      <alignment horizontal="center" wrapText="1"/>
    </xf>
    <xf numFmtId="37" fontId="8" fillId="5" borderId="30" xfId="0" applyFont="1" applyFill="1" applyBorder="1" applyProtection="1">
      <protection locked="0"/>
    </xf>
    <xf numFmtId="49" fontId="8" fillId="0" borderId="30" xfId="0" applyNumberFormat="1" applyFont="1" applyBorder="1" applyAlignment="1">
      <alignment horizontal="left" wrapText="1"/>
    </xf>
    <xf numFmtId="49" fontId="8" fillId="0" borderId="30" xfId="0" applyNumberFormat="1" applyFont="1" applyBorder="1" applyAlignment="1">
      <alignment horizontal="center"/>
    </xf>
    <xf numFmtId="37" fontId="8" fillId="0" borderId="18" xfId="0" applyFont="1" applyBorder="1" applyAlignment="1" applyProtection="1">
      <alignment horizontal="left" wrapText="1"/>
      <protection locked="0"/>
    </xf>
    <xf numFmtId="49" fontId="11" fillId="0" borderId="30" xfId="0" applyNumberFormat="1" applyFont="1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left"/>
    </xf>
    <xf numFmtId="49" fontId="8" fillId="0" borderId="30" xfId="0" applyNumberFormat="1" applyFont="1" applyBorder="1" applyAlignment="1">
      <alignment horizontal="left"/>
    </xf>
    <xf numFmtId="5" fontId="8" fillId="0" borderId="30" xfId="0" applyNumberFormat="1" applyFont="1" applyBorder="1"/>
    <xf numFmtId="49" fontId="2" fillId="0" borderId="30" xfId="0" applyNumberFormat="1" applyFont="1" applyBorder="1" applyAlignment="1" applyProtection="1">
      <alignment horizontal="center" wrapText="1"/>
      <protection locked="0"/>
    </xf>
    <xf numFmtId="37" fontId="2" fillId="0" borderId="28" xfId="0" applyFont="1" applyBorder="1" applyAlignment="1" applyProtection="1">
      <alignment horizontal="center"/>
      <protection locked="0"/>
    </xf>
    <xf numFmtId="49" fontId="12" fillId="0" borderId="28" xfId="0" applyNumberFormat="1" applyFont="1" applyBorder="1" applyAlignment="1" applyProtection="1">
      <alignment horizontal="center" wrapText="1"/>
      <protection locked="0"/>
    </xf>
    <xf numFmtId="49" fontId="12" fillId="0" borderId="30" xfId="0" applyNumberFormat="1" applyFont="1" applyBorder="1" applyAlignment="1">
      <alignment horizontal="center" wrapText="1"/>
    </xf>
    <xf numFmtId="49" fontId="12" fillId="0" borderId="30" xfId="0" applyNumberFormat="1" applyFont="1" applyBorder="1" applyAlignment="1" applyProtection="1">
      <alignment horizontal="center" wrapText="1"/>
      <protection locked="0"/>
    </xf>
    <xf numFmtId="49" fontId="12" fillId="0" borderId="30" xfId="0" applyNumberFormat="1" applyFont="1" applyBorder="1" applyAlignment="1">
      <alignment horizontal="center"/>
    </xf>
    <xf numFmtId="37" fontId="8" fillId="0" borderId="18" xfId="0" applyFont="1" applyBorder="1" applyAlignment="1" applyProtection="1">
      <alignment horizontal="center" wrapText="1"/>
      <protection locked="0"/>
    </xf>
    <xf numFmtId="37" fontId="2" fillId="0" borderId="0" xfId="0" applyFont="1" applyAlignment="1">
      <alignment horizontal="center" wrapText="1"/>
    </xf>
    <xf numFmtId="37" fontId="4" fillId="0" borderId="0" xfId="0" applyFont="1" applyAlignment="1" applyProtection="1">
      <alignment horizontal="center" wrapText="1"/>
      <protection locked="0"/>
    </xf>
    <xf numFmtId="37" fontId="4" fillId="0" borderId="0" xfId="0" applyFont="1" applyAlignment="1">
      <alignment horizontal="center" wrapText="1"/>
    </xf>
    <xf numFmtId="37" fontId="2" fillId="2" borderId="2" xfId="0" applyFont="1" applyFill="1" applyBorder="1" applyAlignment="1">
      <alignment horizontal="center" wrapText="1"/>
    </xf>
    <xf numFmtId="37" fontId="2" fillId="0" borderId="0" xfId="0" quotePrefix="1" applyFont="1" applyAlignment="1">
      <alignment horizontal="center" wrapText="1"/>
    </xf>
    <xf numFmtId="37" fontId="2" fillId="4" borderId="24" xfId="0" applyFont="1" applyFill="1" applyBorder="1" applyAlignment="1">
      <alignment horizontal="center" wrapText="1"/>
    </xf>
    <xf numFmtId="49" fontId="2" fillId="0" borderId="28" xfId="0" applyNumberFormat="1" applyFont="1" applyBorder="1" applyAlignment="1" applyProtection="1">
      <alignment horizontal="center" wrapText="1"/>
      <protection locked="0"/>
    </xf>
    <xf numFmtId="49" fontId="8" fillId="0" borderId="30" xfId="0" applyNumberFormat="1" applyFont="1" applyBorder="1" applyAlignment="1" applyProtection="1">
      <alignment horizontal="center" wrapText="1"/>
      <protection locked="0"/>
    </xf>
    <xf numFmtId="37" fontId="2" fillId="0" borderId="32" xfId="0" applyFont="1" applyBorder="1" applyAlignment="1">
      <alignment horizontal="center" wrapText="1"/>
    </xf>
    <xf numFmtId="37" fontId="6" fillId="0" borderId="0" xfId="0" applyFont="1" applyAlignment="1">
      <alignment horizontal="center" wrapText="1"/>
    </xf>
    <xf numFmtId="37" fontId="7" fillId="0" borderId="0" xfId="0" applyFont="1" applyAlignment="1">
      <alignment horizontal="center" wrapText="1"/>
    </xf>
    <xf numFmtId="37" fontId="8" fillId="0" borderId="36" xfId="0" applyFont="1" applyBorder="1" applyAlignment="1" applyProtection="1">
      <alignment horizontal="center" wrapText="1"/>
      <protection locked="0"/>
    </xf>
    <xf numFmtId="37" fontId="8" fillId="0" borderId="0" xfId="0" applyFont="1" applyAlignment="1" applyProtection="1">
      <alignment horizontal="center" wrapText="1"/>
      <protection locked="0"/>
    </xf>
    <xf numFmtId="37" fontId="8" fillId="0" borderId="33" xfId="0" applyFont="1" applyBorder="1" applyAlignment="1" applyProtection="1">
      <alignment horizontal="center" wrapText="1"/>
      <protection locked="0"/>
    </xf>
    <xf numFmtId="165" fontId="2" fillId="0" borderId="30" xfId="1" applyNumberFormat="1" applyFont="1" applyBorder="1" applyAlignment="1" applyProtection="1">
      <alignment horizontal="right"/>
      <protection locked="0"/>
    </xf>
    <xf numFmtId="14" fontId="8" fillId="0" borderId="33" xfId="0" applyNumberFormat="1" applyFont="1" applyBorder="1" applyAlignment="1" applyProtection="1">
      <alignment horizontal="center" wrapText="1"/>
      <protection locked="0"/>
    </xf>
    <xf numFmtId="14" fontId="8" fillId="0" borderId="21" xfId="0" applyNumberFormat="1" applyFont="1" applyBorder="1" applyAlignment="1" applyProtection="1">
      <alignment horizontal="center" wrapText="1"/>
      <protection locked="0"/>
    </xf>
    <xf numFmtId="14" fontId="8" fillId="0" borderId="18" xfId="0" applyNumberFormat="1" applyFont="1" applyBorder="1" applyAlignment="1" applyProtection="1">
      <alignment horizontal="center" wrapText="1"/>
      <protection locked="0"/>
    </xf>
    <xf numFmtId="14" fontId="8" fillId="0" borderId="28" xfId="0" applyNumberFormat="1" applyFont="1" applyBorder="1" applyAlignment="1" applyProtection="1">
      <alignment horizontal="center" wrapText="1"/>
      <protection locked="0"/>
    </xf>
    <xf numFmtId="14" fontId="8" fillId="0" borderId="30" xfId="0" applyNumberFormat="1" applyFont="1" applyBorder="1" applyAlignment="1" applyProtection="1">
      <alignment horizontal="center" wrapText="1"/>
      <protection locked="0"/>
    </xf>
    <xf numFmtId="14" fontId="2" fillId="0" borderId="30" xfId="0" applyNumberFormat="1" applyFont="1" applyBorder="1" applyAlignment="1">
      <alignment horizontal="center" wrapText="1"/>
    </xf>
    <xf numFmtId="49" fontId="8" fillId="0" borderId="22" xfId="0" applyNumberFormat="1" applyFont="1" applyBorder="1" applyAlignment="1" applyProtection="1">
      <alignment horizontal="left"/>
      <protection locked="0"/>
    </xf>
    <xf numFmtId="14" fontId="8" fillId="0" borderId="27" xfId="0" applyNumberFormat="1" applyFont="1" applyBorder="1" applyAlignment="1" applyProtection="1">
      <alignment horizontal="center" wrapText="1"/>
      <protection locked="0"/>
    </xf>
    <xf numFmtId="49" fontId="8" fillId="0" borderId="33" xfId="0" applyNumberFormat="1" applyFont="1" applyBorder="1" applyAlignment="1" applyProtection="1">
      <alignment horizontal="center" wrapText="1"/>
      <protection locked="0"/>
    </xf>
    <xf numFmtId="37" fontId="8" fillId="0" borderId="30" xfId="0" applyFont="1" applyBorder="1" applyAlignment="1">
      <alignment horizontal="center"/>
    </xf>
    <xf numFmtId="6" fontId="8" fillId="0" borderId="30" xfId="0" applyNumberFormat="1" applyFont="1" applyBorder="1" applyAlignment="1" applyProtection="1">
      <alignment horizontal="right"/>
      <protection locked="0"/>
    </xf>
    <xf numFmtId="165" fontId="8" fillId="0" borderId="30" xfId="1" applyNumberFormat="1" applyFont="1" applyBorder="1" applyAlignment="1" applyProtection="1">
      <alignment horizontal="right"/>
      <protection locked="0"/>
    </xf>
    <xf numFmtId="37" fontId="13" fillId="0" borderId="0" xfId="0" applyFont="1"/>
    <xf numFmtId="37" fontId="8" fillId="5" borderId="18" xfId="0" applyFont="1" applyFill="1" applyBorder="1" applyAlignment="1" applyProtection="1">
      <alignment horizontal="left" vertical="center" wrapText="1"/>
      <protection locked="0"/>
    </xf>
    <xf numFmtId="165" fontId="8" fillId="0" borderId="30" xfId="1" applyNumberFormat="1" applyFont="1" applyFill="1" applyBorder="1" applyAlignment="1" applyProtection="1">
      <alignment horizontal="right"/>
      <protection locked="0"/>
    </xf>
    <xf numFmtId="49" fontId="2" fillId="5" borderId="30" xfId="0" applyNumberFormat="1" applyFont="1" applyFill="1" applyBorder="1" applyAlignment="1" applyProtection="1">
      <alignment horizontal="center"/>
      <protection locked="0"/>
    </xf>
    <xf numFmtId="165" fontId="2" fillId="0" borderId="30" xfId="1" applyNumberFormat="1" applyFont="1" applyFill="1" applyBorder="1" applyAlignment="1" applyProtection="1">
      <alignment horizontal="right"/>
      <protection locked="0"/>
    </xf>
    <xf numFmtId="49" fontId="2" fillId="0" borderId="30" xfId="0" applyNumberFormat="1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12" fillId="0" borderId="28" xfId="0" applyNumberFormat="1" applyFont="1" applyBorder="1" applyAlignment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  <protection locked="0"/>
    </xf>
    <xf numFmtId="14" fontId="8" fillId="0" borderId="30" xfId="0" applyNumberFormat="1" applyFont="1" applyBorder="1" applyAlignment="1">
      <alignment horizontal="center" wrapText="1"/>
    </xf>
    <xf numFmtId="37" fontId="8" fillId="0" borderId="35" xfId="0" applyFont="1" applyBorder="1" applyAlignment="1" applyProtection="1">
      <alignment horizontal="center" wrapText="1"/>
      <protection locked="0"/>
    </xf>
    <xf numFmtId="49" fontId="8" fillId="0" borderId="28" xfId="0" applyNumberFormat="1" applyFont="1" applyBorder="1" applyAlignment="1" applyProtection="1">
      <alignment horizontal="left"/>
      <protection locked="0"/>
    </xf>
    <xf numFmtId="49" fontId="8" fillId="0" borderId="30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left"/>
    </xf>
    <xf numFmtId="49" fontId="8" fillId="0" borderId="18" xfId="0" applyNumberFormat="1" applyFont="1" applyBorder="1" applyAlignment="1">
      <alignment horizontal="center" wrapText="1"/>
    </xf>
    <xf numFmtId="14" fontId="8" fillId="0" borderId="18" xfId="0" applyNumberFormat="1" applyFont="1" applyBorder="1" applyAlignment="1">
      <alignment horizontal="center" wrapText="1"/>
    </xf>
    <xf numFmtId="49" fontId="2" fillId="0" borderId="28" xfId="0" quotePrefix="1" applyNumberFormat="1" applyFont="1" applyBorder="1" applyAlignment="1" applyProtection="1">
      <alignment horizontal="center"/>
      <protection locked="0"/>
    </xf>
    <xf numFmtId="37" fontId="8" fillId="0" borderId="28" xfId="0" applyFont="1" applyBorder="1" applyAlignment="1" applyProtection="1">
      <alignment horizontal="center"/>
      <protection locked="0"/>
    </xf>
    <xf numFmtId="49" fontId="8" fillId="0" borderId="34" xfId="0" applyNumberFormat="1" applyFont="1" applyBorder="1" applyAlignment="1" applyProtection="1">
      <alignment horizontal="center"/>
      <protection locked="0"/>
    </xf>
    <xf numFmtId="37" fontId="8" fillId="0" borderId="12" xfId="0" applyFont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37" fontId="8" fillId="0" borderId="33" xfId="0" applyFont="1" applyBorder="1" applyAlignment="1" applyProtection="1">
      <alignment horizontal="center"/>
      <protection locked="0"/>
    </xf>
    <xf numFmtId="49" fontId="8" fillId="0" borderId="33" xfId="0" applyNumberFormat="1" applyFont="1" applyBorder="1" applyAlignment="1" applyProtection="1">
      <alignment horizontal="center"/>
      <protection locked="0"/>
    </xf>
    <xf numFmtId="37" fontId="8" fillId="0" borderId="33" xfId="0" applyFont="1" applyBorder="1" applyAlignment="1" applyProtection="1">
      <alignment horizontal="left" wrapText="1"/>
      <protection locked="0"/>
    </xf>
    <xf numFmtId="37" fontId="8" fillId="0" borderId="21" xfId="0" applyFont="1" applyBorder="1" applyAlignment="1" applyProtection="1">
      <alignment horizontal="left" wrapText="1"/>
      <protection locked="0"/>
    </xf>
    <xf numFmtId="37" fontId="8" fillId="0" borderId="21" xfId="0" applyFont="1" applyBorder="1" applyAlignment="1" applyProtection="1">
      <alignment horizontal="center" wrapText="1"/>
      <protection locked="0"/>
    </xf>
    <xf numFmtId="14" fontId="8" fillId="0" borderId="30" xfId="0" applyNumberFormat="1" applyFont="1" applyBorder="1" applyAlignment="1">
      <alignment horizontal="center"/>
    </xf>
    <xf numFmtId="37" fontId="8" fillId="0" borderId="28" xfId="0" applyFont="1" applyBorder="1"/>
    <xf numFmtId="14" fontId="2" fillId="0" borderId="30" xfId="0" applyNumberFormat="1" applyFont="1" applyBorder="1" applyAlignment="1">
      <alignment horizontal="center"/>
    </xf>
    <xf numFmtId="37" fontId="2" fillId="0" borderId="28" xfId="0" applyFont="1" applyBorder="1"/>
    <xf numFmtId="49" fontId="10" fillId="0" borderId="30" xfId="0" applyNumberFormat="1" applyFont="1" applyBorder="1" applyAlignment="1">
      <alignment horizontal="center"/>
    </xf>
    <xf numFmtId="37" fontId="2" fillId="0" borderId="12" xfId="0" applyFont="1" applyBorder="1" applyAlignment="1">
      <alignment horizontal="center"/>
    </xf>
    <xf numFmtId="37" fontId="2" fillId="0" borderId="13" xfId="0" applyFont="1" applyBorder="1" applyAlignment="1">
      <alignment horizontal="center"/>
    </xf>
    <xf numFmtId="37" fontId="2" fillId="0" borderId="24" xfId="0" applyFont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8" fillId="0" borderId="27" xfId="0" applyNumberFormat="1" applyFont="1" applyBorder="1" applyAlignment="1" applyProtection="1">
      <alignment horizontal="center"/>
      <protection locked="0"/>
    </xf>
    <xf numFmtId="49" fontId="8" fillId="0" borderId="37" xfId="0" applyNumberFormat="1" applyFont="1" applyBorder="1" applyAlignment="1">
      <alignment horizontal="center"/>
    </xf>
    <xf numFmtId="49" fontId="2" fillId="0" borderId="37" xfId="0" applyNumberFormat="1" applyFont="1" applyBorder="1" applyAlignment="1" applyProtection="1">
      <alignment horizontal="center"/>
      <protection locked="0"/>
    </xf>
    <xf numFmtId="49" fontId="8" fillId="0" borderId="37" xfId="0" applyNumberFormat="1" applyFont="1" applyBorder="1" applyAlignment="1" applyProtection="1">
      <alignment horizontal="center"/>
      <protection locked="0"/>
    </xf>
    <xf numFmtId="37" fontId="2" fillId="0" borderId="30" xfId="0" quotePrefix="1" applyFont="1" applyBorder="1" applyAlignment="1">
      <alignment horizontal="center"/>
    </xf>
    <xf numFmtId="37" fontId="2" fillId="0" borderId="5" xfId="0" applyFont="1" applyBorder="1"/>
    <xf numFmtId="37" fontId="2" fillId="0" borderId="8" xfId="0" quotePrefix="1" applyFont="1" applyBorder="1" applyAlignment="1">
      <alignment horizontal="center"/>
    </xf>
    <xf numFmtId="37" fontId="2" fillId="0" borderId="25" xfId="0" applyFont="1" applyBorder="1" applyAlignment="1">
      <alignment horizontal="center"/>
    </xf>
    <xf numFmtId="37" fontId="10" fillId="0" borderId="26" xfId="0" applyFont="1" applyBorder="1" applyAlignment="1">
      <alignment horizontal="center"/>
    </xf>
    <xf numFmtId="14" fontId="2" fillId="0" borderId="28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37" fontId="2" fillId="0" borderId="28" xfId="0" applyFont="1" applyBorder="1" applyProtection="1">
      <protection locked="0"/>
    </xf>
    <xf numFmtId="6" fontId="2" fillId="0" borderId="28" xfId="0" applyNumberFormat="1" applyFont="1" applyBorder="1" applyProtection="1">
      <protection locked="0"/>
    </xf>
    <xf numFmtId="14" fontId="8" fillId="0" borderId="30" xfId="0" applyNumberFormat="1" applyFont="1" applyBorder="1" applyAlignment="1" applyProtection="1">
      <alignment horizontal="center"/>
      <protection locked="0"/>
    </xf>
    <xf numFmtId="38" fontId="2" fillId="0" borderId="28" xfId="0" applyNumberFormat="1" applyFont="1" applyBorder="1" applyProtection="1">
      <protection locked="0"/>
    </xf>
    <xf numFmtId="14" fontId="2" fillId="0" borderId="28" xfId="0" applyNumberFormat="1" applyFont="1" applyBorder="1" applyAlignment="1">
      <alignment horizontal="center"/>
    </xf>
    <xf numFmtId="14" fontId="8" fillId="0" borderId="28" xfId="0" applyNumberFormat="1" applyFont="1" applyBorder="1" applyAlignment="1">
      <alignment horizontal="center"/>
    </xf>
    <xf numFmtId="10" fontId="2" fillId="0" borderId="30" xfId="0" quotePrefix="1" applyNumberFormat="1" applyFont="1" applyBorder="1" applyAlignment="1">
      <alignment horizontal="center"/>
    </xf>
    <xf numFmtId="37" fontId="2" fillId="0" borderId="16" xfId="0" applyFont="1" applyBorder="1" applyAlignment="1">
      <alignment horizontal="center"/>
    </xf>
    <xf numFmtId="37" fontId="2" fillId="0" borderId="17" xfId="0" applyFont="1" applyBorder="1" applyAlignment="1">
      <alignment horizontal="center"/>
    </xf>
    <xf numFmtId="37" fontId="2" fillId="0" borderId="11" xfId="0" applyFont="1" applyBorder="1" applyAlignment="1">
      <alignment horizontal="center"/>
    </xf>
    <xf numFmtId="37" fontId="2" fillId="0" borderId="5" xfId="0" applyFont="1" applyBorder="1" applyAlignment="1">
      <alignment horizontal="center"/>
    </xf>
    <xf numFmtId="37" fontId="2" fillId="0" borderId="23" xfId="0" quotePrefix="1" applyFont="1" applyBorder="1" applyAlignment="1">
      <alignment horizontal="center"/>
    </xf>
    <xf numFmtId="37" fontId="2" fillId="0" borderId="29" xfId="0" quotePrefix="1" applyFont="1" applyBorder="1" applyAlignment="1">
      <alignment horizontal="center"/>
    </xf>
    <xf numFmtId="6" fontId="2" fillId="0" borderId="28" xfId="0" applyNumberFormat="1" applyFont="1" applyBorder="1" applyAlignment="1" applyProtection="1">
      <alignment horizontal="right"/>
      <protection locked="0"/>
    </xf>
    <xf numFmtId="38" fontId="2" fillId="0" borderId="30" xfId="0" applyNumberFormat="1" applyFont="1" applyBorder="1" applyAlignment="1" applyProtection="1">
      <alignment horizontal="right"/>
      <protection locked="0"/>
    </xf>
    <xf numFmtId="5" fontId="8" fillId="0" borderId="28" xfId="0" applyNumberFormat="1" applyFont="1" applyBorder="1" applyAlignment="1">
      <alignment horizontal="right"/>
    </xf>
    <xf numFmtId="5" fontId="2" fillId="0" borderId="28" xfId="0" applyNumberFormat="1" applyFont="1" applyBorder="1" applyAlignment="1">
      <alignment horizontal="right"/>
    </xf>
    <xf numFmtId="37" fontId="2" fillId="0" borderId="28" xfId="0" applyFont="1" applyBorder="1" applyAlignment="1">
      <alignment horizontal="right"/>
    </xf>
    <xf numFmtId="37" fontId="8" fillId="0" borderId="28" xfId="0" applyFont="1" applyBorder="1" applyAlignment="1">
      <alignment horizontal="right"/>
    </xf>
    <xf numFmtId="38" fontId="8" fillId="0" borderId="28" xfId="0" applyNumberFormat="1" applyFont="1" applyBorder="1" applyAlignment="1" applyProtection="1">
      <alignment horizontal="right"/>
      <protection locked="0"/>
    </xf>
    <xf numFmtId="37" fontId="2" fillId="0" borderId="14" xfId="0" applyFont="1" applyBorder="1" applyAlignment="1">
      <alignment horizontal="center" vertical="center"/>
    </xf>
    <xf numFmtId="37" fontId="9" fillId="0" borderId="15" xfId="0" applyFont="1" applyBorder="1" applyAlignment="1">
      <alignment horizontal="center" vertical="center"/>
    </xf>
    <xf numFmtId="37" fontId="9" fillId="0" borderId="6" xfId="0" applyFont="1" applyBorder="1" applyAlignment="1">
      <alignment horizontal="center" vertical="center"/>
    </xf>
    <xf numFmtId="37" fontId="9" fillId="0" borderId="8" xfId="0" applyFont="1" applyBorder="1" applyAlignment="1">
      <alignment horizontal="center" vertical="center"/>
    </xf>
    <xf numFmtId="37" fontId="8" fillId="0" borderId="30" xfId="0" applyFont="1" applyFill="1" applyBorder="1" applyAlignment="1">
      <alignment horizontal="center"/>
    </xf>
    <xf numFmtId="49" fontId="8" fillId="0" borderId="30" xfId="0" applyNumberFormat="1" applyFont="1" applyFill="1" applyBorder="1" applyAlignment="1" applyProtection="1">
      <alignment horizontal="center"/>
      <protection locked="0"/>
    </xf>
    <xf numFmtId="49" fontId="8" fillId="0" borderId="30" xfId="0" applyNumberFormat="1" applyFont="1" applyFill="1" applyBorder="1" applyAlignment="1">
      <alignment horizontal="center" wrapText="1"/>
    </xf>
    <xf numFmtId="49" fontId="8" fillId="0" borderId="30" xfId="0" applyNumberFormat="1" applyFont="1" applyFill="1" applyBorder="1" applyAlignment="1">
      <alignment horizontal="left"/>
    </xf>
    <xf numFmtId="37" fontId="8" fillId="0" borderId="35" xfId="0" applyFont="1" applyFill="1" applyBorder="1" applyAlignment="1" applyProtection="1">
      <alignment horizontal="center" wrapText="1"/>
      <protection locked="0"/>
    </xf>
    <xf numFmtId="14" fontId="8" fillId="0" borderId="12" xfId="0" applyNumberFormat="1" applyFont="1" applyFill="1" applyBorder="1" applyAlignment="1" applyProtection="1">
      <alignment horizontal="center" wrapText="1"/>
      <protection locked="0"/>
    </xf>
    <xf numFmtId="49" fontId="8" fillId="0" borderId="30" xfId="0" applyNumberFormat="1" applyFont="1" applyFill="1" applyBorder="1" applyAlignment="1">
      <alignment horizontal="center"/>
    </xf>
    <xf numFmtId="37" fontId="8" fillId="0" borderId="30" xfId="0" applyFont="1" applyFill="1" applyBorder="1"/>
    <xf numFmtId="5" fontId="8" fillId="0" borderId="28" xfId="0" applyNumberFormat="1" applyFont="1" applyFill="1" applyBorder="1" applyProtection="1">
      <protection locked="0"/>
    </xf>
    <xf numFmtId="14" fontId="8" fillId="0" borderId="30" xfId="0" applyNumberFormat="1" applyFont="1" applyFill="1" applyBorder="1" applyAlignment="1">
      <alignment horizontal="center"/>
    </xf>
    <xf numFmtId="37" fontId="8" fillId="0" borderId="28" xfId="0" applyFont="1" applyFill="1" applyBorder="1"/>
    <xf numFmtId="37" fontId="8" fillId="0" borderId="30" xfId="0" applyFont="1" applyFill="1" applyBorder="1" applyAlignment="1">
      <alignment horizontal="right"/>
    </xf>
    <xf numFmtId="6" fontId="8" fillId="0" borderId="30" xfId="0" applyNumberFormat="1" applyFont="1" applyFill="1" applyBorder="1" applyAlignment="1" applyProtection="1">
      <alignment horizontal="right"/>
      <protection locked="0"/>
    </xf>
    <xf numFmtId="37" fontId="13" fillId="0" borderId="0" xfId="0" applyFont="1" applyFill="1"/>
    <xf numFmtId="37" fontId="7" fillId="0" borderId="0" xfId="0" applyFont="1" applyFill="1"/>
    <xf numFmtId="37" fontId="15" fillId="0" borderId="0" xfId="0" applyFont="1" applyFill="1"/>
    <xf numFmtId="37" fontId="8" fillId="0" borderId="30" xfId="0" applyFont="1" applyFill="1" applyBorder="1" applyAlignment="1" applyProtection="1">
      <alignment horizontal="center"/>
      <protection locked="0"/>
    </xf>
    <xf numFmtId="37" fontId="8" fillId="0" borderId="18" xfId="0" applyFont="1" applyFill="1" applyBorder="1" applyAlignment="1" applyProtection="1">
      <alignment horizontal="center" wrapText="1"/>
      <protection locked="0"/>
    </xf>
    <xf numFmtId="14" fontId="8" fillId="0" borderId="18" xfId="0" applyNumberFormat="1" applyFont="1" applyFill="1" applyBorder="1" applyAlignment="1" applyProtection="1">
      <alignment horizontal="center" wrapText="1"/>
      <protection locked="0"/>
    </xf>
    <xf numFmtId="37" fontId="8" fillId="0" borderId="28" xfId="0" applyFont="1" applyFill="1" applyBorder="1" applyAlignment="1" applyProtection="1">
      <alignment horizontal="center"/>
      <protection locked="0"/>
    </xf>
    <xf numFmtId="49" fontId="8" fillId="0" borderId="28" xfId="0" applyNumberFormat="1" applyFont="1" applyFill="1" applyBorder="1" applyAlignment="1" applyProtection="1">
      <alignment horizontal="center"/>
      <protection locked="0"/>
    </xf>
    <xf numFmtId="37" fontId="8" fillId="0" borderId="30" xfId="0" applyFont="1" applyFill="1" applyBorder="1" applyProtection="1">
      <protection locked="0"/>
    </xf>
    <xf numFmtId="37" fontId="8" fillId="0" borderId="18" xfId="0" applyFont="1" applyFill="1" applyBorder="1" applyAlignment="1" applyProtection="1">
      <alignment horizontal="left" wrapText="1"/>
      <protection locked="0"/>
    </xf>
    <xf numFmtId="38" fontId="8" fillId="0" borderId="30" xfId="0" applyNumberFormat="1" applyFont="1" applyFill="1" applyBorder="1" applyProtection="1">
      <protection locked="0"/>
    </xf>
    <xf numFmtId="37" fontId="14" fillId="0" borderId="0" xfId="0" applyFont="1" applyFill="1"/>
    <xf numFmtId="49" fontId="8" fillId="0" borderId="18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center" wrapText="1"/>
    </xf>
    <xf numFmtId="14" fontId="8" fillId="0" borderId="18" xfId="0" applyNumberFormat="1" applyFont="1" applyFill="1" applyBorder="1" applyAlignment="1">
      <alignment horizontal="center" wrapText="1"/>
    </xf>
    <xf numFmtId="37" fontId="6" fillId="0" borderId="0" xfId="0" applyFont="1" applyFill="1"/>
    <xf numFmtId="37" fontId="2" fillId="7" borderId="2" xfId="0" applyFont="1" applyFill="1" applyBorder="1" applyAlignment="1">
      <alignment horizontal="centerContinuous"/>
    </xf>
    <xf numFmtId="37" fontId="2" fillId="7" borderId="3" xfId="0" applyFont="1" applyFill="1" applyBorder="1" applyAlignment="1">
      <alignment horizontal="centerContinuous"/>
    </xf>
    <xf numFmtId="37" fontId="2" fillId="7" borderId="1" xfId="0" applyFont="1" applyFill="1" applyBorder="1" applyAlignment="1">
      <alignment horizontal="centerContinuous"/>
    </xf>
  </cellXfs>
  <cellStyles count="4">
    <cellStyle name="Comma" xfId="1" builtinId="3"/>
    <cellStyle name="Normal" xfId="0" builtinId="0"/>
    <cellStyle name="Normal 2" xfId="3" xr:uid="{373014EB-C1EF-4D3D-A2F4-9E893C8A3BD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DE62-F157-4E02-9937-6ADFB2C258E8}">
  <sheetPr>
    <tabColor rgb="FF92D050"/>
  </sheetPr>
  <dimension ref="A1:BX221"/>
  <sheetViews>
    <sheetView tabSelected="1" zoomScale="90" zoomScaleNormal="90" workbookViewId="0">
      <selection activeCell="E94" sqref="E94"/>
    </sheetView>
  </sheetViews>
  <sheetFormatPr defaultColWidth="8.6640625" defaultRowHeight="11.25"/>
  <cols>
    <col min="1" max="1" width="4.21875" style="6" customWidth="1"/>
    <col min="2" max="2" width="6.33203125" style="6" customWidth="1"/>
    <col min="3" max="3" width="25" style="6" customWidth="1"/>
    <col min="4" max="4" width="18.88671875" style="6" customWidth="1"/>
    <col min="5" max="5" width="18.88671875" style="100" customWidth="1"/>
    <col min="6" max="6" width="8.5546875" style="100" customWidth="1"/>
    <col min="7" max="7" width="8" style="6" customWidth="1"/>
    <col min="8" max="8" width="9.6640625" style="6" bestFit="1" customWidth="1"/>
    <col min="9" max="9" width="6.6640625" style="6" customWidth="1"/>
    <col min="10" max="10" width="6.33203125" style="6" customWidth="1"/>
    <col min="11" max="11" width="9.5546875" style="6" customWidth="1"/>
    <col min="12" max="12" width="6.6640625" style="6" customWidth="1"/>
    <col min="13" max="13" width="7.6640625" style="6" customWidth="1"/>
    <col min="14" max="14" width="10.6640625" style="6" customWidth="1"/>
    <col min="15" max="16" width="8.6640625" style="6" customWidth="1"/>
    <col min="17" max="17" width="8" style="6" customWidth="1"/>
    <col min="18" max="18" width="6.6640625" style="6" customWidth="1"/>
    <col min="19" max="20" width="8.6640625" style="6" customWidth="1"/>
    <col min="21" max="21" width="10.5546875" style="6" bestFit="1" customWidth="1"/>
    <col min="22" max="22" width="9.21875" style="6" bestFit="1" customWidth="1"/>
    <col min="23" max="16384" width="8.6640625" style="6"/>
  </cols>
  <sheetData>
    <row r="1" spans="1:76" ht="15.75">
      <c r="A1" s="1"/>
      <c r="B1" s="1"/>
      <c r="C1" s="1"/>
      <c r="D1" s="1"/>
      <c r="E1" s="90"/>
      <c r="F1" s="90"/>
      <c r="G1" s="1"/>
      <c r="H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  <c r="V1" s="1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ht="12.75">
      <c r="A2" s="3" t="s">
        <v>1</v>
      </c>
      <c r="B2" s="3"/>
      <c r="C2" s="3"/>
      <c r="D2" s="7" t="s">
        <v>2</v>
      </c>
      <c r="E2" s="91"/>
      <c r="F2" s="9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ht="8.1" customHeight="1">
      <c r="A3" s="3"/>
      <c r="B3" s="3"/>
      <c r="C3" s="3"/>
      <c r="D3" s="7"/>
      <c r="E3" s="91"/>
      <c r="F3" s="9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 ht="12.75">
      <c r="A4" s="3"/>
      <c r="B4" s="3"/>
      <c r="C4" s="3"/>
      <c r="D4" s="3" t="s">
        <v>490</v>
      </c>
      <c r="E4" s="92"/>
      <c r="F4" s="92"/>
      <c r="H4" s="1"/>
      <c r="I4" s="1"/>
      <c r="J4" s="1"/>
      <c r="K4" s="1"/>
      <c r="L4" s="1"/>
      <c r="M4" s="1"/>
      <c r="N4" s="8"/>
      <c r="O4" s="8"/>
      <c r="P4" s="8"/>
      <c r="Q4" s="8"/>
      <c r="R4" s="8"/>
      <c r="S4" s="8"/>
      <c r="T4" s="8"/>
      <c r="U4" s="8"/>
      <c r="V4" s="1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ht="15">
      <c r="A5" s="1"/>
      <c r="B5" s="1"/>
      <c r="C5" s="1"/>
      <c r="D5" s="1"/>
      <c r="E5" s="90"/>
      <c r="F5" s="90"/>
      <c r="G5" s="1"/>
      <c r="H5"/>
      <c r="I5"/>
      <c r="J5"/>
      <c r="K5"/>
      <c r="L5"/>
      <c r="M5" s="1"/>
      <c r="N5" s="1" t="s">
        <v>0</v>
      </c>
      <c r="O5" s="1"/>
      <c r="P5" s="1"/>
      <c r="Q5" s="1"/>
      <c r="R5" s="1"/>
      <c r="S5"/>
      <c r="T5"/>
      <c r="U5" s="1"/>
      <c r="V5" s="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15.75" thickBot="1">
      <c r="A6" s="1"/>
      <c r="B6" s="1"/>
      <c r="C6" s="1"/>
      <c r="D6" s="1"/>
      <c r="E6" s="90"/>
      <c r="F6" s="90"/>
      <c r="G6" s="1"/>
      <c r="H6"/>
      <c r="I6"/>
      <c r="J6"/>
      <c r="K6"/>
      <c r="L6"/>
      <c r="M6" s="1"/>
      <c r="N6" s="1"/>
      <c r="O6" s="1"/>
      <c r="P6" s="1"/>
      <c r="Q6" s="1"/>
      <c r="R6" s="1"/>
      <c r="S6"/>
      <c r="T6"/>
      <c r="U6" s="1"/>
      <c r="V6" s="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</row>
    <row r="7" spans="1:76" ht="12.75" thickTop="1" thickBot="1">
      <c r="A7" s="1"/>
      <c r="B7" s="9" t="s">
        <v>3</v>
      </c>
      <c r="C7" s="10"/>
      <c r="D7" s="10"/>
      <c r="E7" s="93"/>
      <c r="F7" s="93"/>
      <c r="G7" s="216"/>
      <c r="H7" s="10"/>
      <c r="I7" s="10"/>
      <c r="J7" s="10"/>
      <c r="K7" s="216"/>
      <c r="L7" s="217"/>
      <c r="M7" s="1"/>
      <c r="N7" s="1"/>
      <c r="O7" s="1"/>
      <c r="P7" s="1"/>
      <c r="Q7" s="1"/>
      <c r="R7" s="1"/>
      <c r="S7" s="218" t="s">
        <v>3</v>
      </c>
      <c r="T7" s="217"/>
      <c r="U7" s="1"/>
      <c r="V7" s="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</row>
    <row r="8" spans="1:76" ht="12" thickTop="1">
      <c r="A8" s="1"/>
      <c r="B8" s="11"/>
      <c r="C8" s="1"/>
      <c r="D8" s="1"/>
      <c r="E8" s="90"/>
      <c r="F8" s="90"/>
      <c r="G8" s="1"/>
      <c r="H8" s="1"/>
      <c r="I8" s="1"/>
      <c r="J8" s="1"/>
      <c r="K8" s="1"/>
      <c r="L8" s="157"/>
      <c r="M8" s="1"/>
      <c r="N8" s="1"/>
      <c r="O8" s="1"/>
      <c r="P8" s="1"/>
      <c r="Q8" s="1"/>
      <c r="R8" s="1"/>
      <c r="S8" s="11"/>
      <c r="T8" s="157"/>
      <c r="U8" s="1"/>
      <c r="V8" s="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</row>
    <row r="9" spans="1:76">
      <c r="A9" s="1"/>
      <c r="B9" s="12" t="s">
        <v>4</v>
      </c>
      <c r="C9" s="13" t="s">
        <v>5</v>
      </c>
      <c r="D9" s="14" t="s">
        <v>6</v>
      </c>
      <c r="E9" s="94"/>
      <c r="F9" s="94"/>
      <c r="G9" s="13" t="s">
        <v>7</v>
      </c>
      <c r="H9" s="14" t="s">
        <v>8</v>
      </c>
      <c r="I9" s="15" t="s">
        <v>9</v>
      </c>
      <c r="J9" s="15" t="s">
        <v>10</v>
      </c>
      <c r="K9" s="15" t="s">
        <v>11</v>
      </c>
      <c r="L9" s="158" t="s">
        <v>12</v>
      </c>
      <c r="M9" s="13" t="s">
        <v>13</v>
      </c>
      <c r="N9" s="13" t="s">
        <v>14</v>
      </c>
      <c r="O9" s="14" t="s">
        <v>15</v>
      </c>
      <c r="P9" s="14" t="s">
        <v>16</v>
      </c>
      <c r="Q9" s="14" t="s">
        <v>17</v>
      </c>
      <c r="R9" s="14" t="s">
        <v>18</v>
      </c>
      <c r="S9" s="16" t="s">
        <v>19</v>
      </c>
      <c r="T9" s="158" t="s">
        <v>20</v>
      </c>
      <c r="U9" s="16" t="s">
        <v>21</v>
      </c>
      <c r="V9" s="17" t="s">
        <v>22</v>
      </c>
      <c r="W9" s="17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</row>
    <row r="10" spans="1:76">
      <c r="A10" s="18"/>
      <c r="B10" s="19" t="s">
        <v>0</v>
      </c>
      <c r="C10" s="20"/>
      <c r="D10" s="21" t="s">
        <v>0</v>
      </c>
      <c r="E10" s="56"/>
      <c r="F10" s="56" t="s">
        <v>458</v>
      </c>
      <c r="G10" s="148" t="s">
        <v>0</v>
      </c>
      <c r="H10" s="21" t="s">
        <v>0</v>
      </c>
      <c r="I10" s="22"/>
      <c r="J10" s="22" t="s">
        <v>0</v>
      </c>
      <c r="K10" s="183" t="s">
        <v>23</v>
      </c>
      <c r="L10" s="184"/>
      <c r="M10" s="23" t="s">
        <v>0</v>
      </c>
      <c r="N10" s="18"/>
      <c r="O10" s="23"/>
      <c r="P10" s="23"/>
      <c r="Q10" s="23" t="s">
        <v>24</v>
      </c>
      <c r="R10" s="23"/>
      <c r="S10" s="170"/>
      <c r="T10" s="171"/>
      <c r="U10" s="24"/>
      <c r="V10" s="24"/>
      <c r="W10" s="25"/>
      <c r="X10" s="25"/>
      <c r="Y10" s="2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</row>
    <row r="11" spans="1:76">
      <c r="A11" s="26"/>
      <c r="B11" s="27" t="s">
        <v>25</v>
      </c>
      <c r="C11" s="22" t="s">
        <v>25</v>
      </c>
      <c r="D11" s="22" t="s">
        <v>26</v>
      </c>
      <c r="E11" s="57" t="s">
        <v>446</v>
      </c>
      <c r="F11" s="57" t="s">
        <v>457</v>
      </c>
      <c r="G11" s="149" t="s">
        <v>27</v>
      </c>
      <c r="H11" s="22" t="s">
        <v>0</v>
      </c>
      <c r="I11" s="22"/>
      <c r="J11" s="22" t="s">
        <v>0</v>
      </c>
      <c r="K11" s="185"/>
      <c r="L11" s="186"/>
      <c r="M11" s="28" t="s">
        <v>28</v>
      </c>
      <c r="N11" s="29" t="s">
        <v>29</v>
      </c>
      <c r="O11" s="29" t="s">
        <v>30</v>
      </c>
      <c r="P11" s="29" t="s">
        <v>31</v>
      </c>
      <c r="Q11" s="29" t="s">
        <v>32</v>
      </c>
      <c r="R11" s="18" t="s">
        <v>33</v>
      </c>
      <c r="S11" s="172" t="s">
        <v>34</v>
      </c>
      <c r="T11" s="173" t="s">
        <v>35</v>
      </c>
      <c r="U11" s="24" t="s">
        <v>36</v>
      </c>
      <c r="V11" s="30" t="s">
        <v>37</v>
      </c>
      <c r="W11" s="25"/>
      <c r="X11" s="25"/>
      <c r="Y11" s="25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76" ht="12" thickBot="1">
      <c r="A12" s="31" t="s">
        <v>38</v>
      </c>
      <c r="B12" s="32" t="s">
        <v>39</v>
      </c>
      <c r="C12" s="33" t="s">
        <v>40</v>
      </c>
      <c r="D12" s="33" t="s">
        <v>41</v>
      </c>
      <c r="E12" s="95" t="s">
        <v>447</v>
      </c>
      <c r="F12" s="95" t="s">
        <v>456</v>
      </c>
      <c r="G12" s="150" t="s">
        <v>42</v>
      </c>
      <c r="H12" s="33" t="s">
        <v>43</v>
      </c>
      <c r="I12" s="33" t="s">
        <v>44</v>
      </c>
      <c r="J12" s="33" t="s">
        <v>45</v>
      </c>
      <c r="K12" s="159" t="s">
        <v>46</v>
      </c>
      <c r="L12" s="160" t="s">
        <v>47</v>
      </c>
      <c r="M12" s="34" t="s">
        <v>48</v>
      </c>
      <c r="N12" s="35" t="s">
        <v>49</v>
      </c>
      <c r="O12" s="36" t="s">
        <v>50</v>
      </c>
      <c r="P12" s="36" t="s">
        <v>51</v>
      </c>
      <c r="Q12" s="36" t="s">
        <v>52</v>
      </c>
      <c r="R12" s="37" t="s">
        <v>53</v>
      </c>
      <c r="S12" s="174" t="s">
        <v>54</v>
      </c>
      <c r="T12" s="175" t="s">
        <v>54</v>
      </c>
      <c r="U12" s="34" t="s">
        <v>55</v>
      </c>
      <c r="V12" s="36" t="s">
        <v>56</v>
      </c>
      <c r="W12" s="25"/>
      <c r="X12" s="25"/>
      <c r="Y12" s="38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</row>
    <row r="13" spans="1:76" ht="12" thickTop="1">
      <c r="A13" s="39">
        <v>1</v>
      </c>
      <c r="B13" s="40" t="s">
        <v>57</v>
      </c>
      <c r="C13" s="40" t="s">
        <v>58</v>
      </c>
      <c r="D13" s="58" t="s">
        <v>264</v>
      </c>
      <c r="E13" s="96" t="s">
        <v>448</v>
      </c>
      <c r="F13" s="96" t="s">
        <v>460</v>
      </c>
      <c r="G13" s="40" t="s">
        <v>59</v>
      </c>
      <c r="H13" s="69">
        <f>95235</f>
        <v>95235</v>
      </c>
      <c r="I13" s="69">
        <v>0</v>
      </c>
      <c r="J13" s="41">
        <v>0</v>
      </c>
      <c r="K13" s="161"/>
      <c r="L13" s="41">
        <v>0</v>
      </c>
      <c r="M13" s="42">
        <f t="shared" ref="M13:M200" si="0">(+H13+I13+J13+L13)</f>
        <v>95235</v>
      </c>
      <c r="N13" s="42">
        <f>ROUND((M13*0.2943),0)</f>
        <v>28028</v>
      </c>
      <c r="O13" s="43">
        <f>495</f>
        <v>495</v>
      </c>
      <c r="P13" s="42">
        <v>0</v>
      </c>
      <c r="Q13" s="42">
        <f t="shared" ref="Q13:Q200" si="1">ROUND((M13*0.0145),0)</f>
        <v>1381</v>
      </c>
      <c r="R13" s="104">
        <f>187</f>
        <v>187</v>
      </c>
      <c r="S13" s="176">
        <v>0</v>
      </c>
      <c r="T13" s="176">
        <f>394</f>
        <v>394</v>
      </c>
      <c r="U13" s="42">
        <f t="shared" ref="U13:U200" si="2">+N13+O13+P13+Q13+R13+S13+T13</f>
        <v>30485</v>
      </c>
      <c r="V13" s="42">
        <f t="shared" ref="V13:V200" si="3">+M13+U13</f>
        <v>125720</v>
      </c>
      <c r="W13" s="4"/>
      <c r="X13" s="4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1:76">
      <c r="A14" s="39">
        <v>2</v>
      </c>
      <c r="B14" s="40" t="s">
        <v>60</v>
      </c>
      <c r="C14" s="40" t="s">
        <v>61</v>
      </c>
      <c r="D14" s="58" t="s">
        <v>62</v>
      </c>
      <c r="E14" s="96" t="s">
        <v>448</v>
      </c>
      <c r="F14" s="96" t="s">
        <v>460</v>
      </c>
      <c r="G14" s="40" t="s">
        <v>63</v>
      </c>
      <c r="H14" s="60">
        <f>84631.65</f>
        <v>84631.65</v>
      </c>
      <c r="I14" s="69">
        <v>0</v>
      </c>
      <c r="J14" s="41">
        <v>0</v>
      </c>
      <c r="K14" s="162"/>
      <c r="L14" s="163">
        <v>0</v>
      </c>
      <c r="M14" s="45">
        <f t="shared" si="0"/>
        <v>84631.65</v>
      </c>
      <c r="N14" s="45">
        <f>ROUND((M14*0.2943),0)</f>
        <v>24907</v>
      </c>
      <c r="O14" s="43">
        <f>495</f>
        <v>495</v>
      </c>
      <c r="P14" s="45">
        <v>0</v>
      </c>
      <c r="Q14" s="45">
        <f t="shared" si="1"/>
        <v>1227</v>
      </c>
      <c r="R14" s="104">
        <f>187</f>
        <v>187</v>
      </c>
      <c r="S14" s="177">
        <v>4801</v>
      </c>
      <c r="T14" s="177">
        <v>0</v>
      </c>
      <c r="U14" s="45">
        <f t="shared" si="2"/>
        <v>31617</v>
      </c>
      <c r="V14" s="45">
        <f t="shared" si="3"/>
        <v>116248.65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1:76">
      <c r="A15" s="39">
        <v>3</v>
      </c>
      <c r="B15" s="40" t="s">
        <v>64</v>
      </c>
      <c r="C15" s="40" t="s">
        <v>65</v>
      </c>
      <c r="D15" s="122" t="s">
        <v>66</v>
      </c>
      <c r="E15" s="96" t="s">
        <v>448</v>
      </c>
      <c r="F15" s="123" t="s">
        <v>461</v>
      </c>
      <c r="G15" s="40" t="s">
        <v>67</v>
      </c>
      <c r="H15" s="60">
        <f>86219</f>
        <v>86219</v>
      </c>
      <c r="I15" s="69">
        <v>0</v>
      </c>
      <c r="J15" s="41">
        <v>0</v>
      </c>
      <c r="K15" s="162">
        <v>45741</v>
      </c>
      <c r="L15" s="163">
        <f>1597/4</f>
        <v>399.25</v>
      </c>
      <c r="M15" s="45">
        <f t="shared" si="0"/>
        <v>86618.25</v>
      </c>
      <c r="N15" s="45">
        <f>ROUND((M15*0.2943),0)</f>
        <v>25492</v>
      </c>
      <c r="O15" s="43">
        <f>495</f>
        <v>495</v>
      </c>
      <c r="P15" s="45">
        <v>0</v>
      </c>
      <c r="Q15" s="45">
        <f t="shared" si="1"/>
        <v>1256</v>
      </c>
      <c r="R15" s="121">
        <f>187</f>
        <v>187</v>
      </c>
      <c r="S15" s="177">
        <v>4801</v>
      </c>
      <c r="T15" s="177">
        <v>342</v>
      </c>
      <c r="U15" s="45">
        <f t="shared" si="2"/>
        <v>32573</v>
      </c>
      <c r="V15" s="45">
        <f t="shared" si="3"/>
        <v>119191.25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</row>
    <row r="16" spans="1:76">
      <c r="A16" s="39">
        <v>4</v>
      </c>
      <c r="B16" s="40" t="s">
        <v>68</v>
      </c>
      <c r="C16" s="46" t="s">
        <v>110</v>
      </c>
      <c r="D16" s="47" t="s">
        <v>93</v>
      </c>
      <c r="E16" s="101"/>
      <c r="F16" s="103"/>
      <c r="G16" s="151" t="s">
        <v>69</v>
      </c>
      <c r="H16" s="60">
        <v>0</v>
      </c>
      <c r="I16" s="69">
        <v>0</v>
      </c>
      <c r="J16" s="41">
        <v>0</v>
      </c>
      <c r="K16" s="162"/>
      <c r="L16" s="163">
        <v>0</v>
      </c>
      <c r="M16" s="45">
        <f t="shared" si="0"/>
        <v>0</v>
      </c>
      <c r="N16" s="45">
        <f t="shared" ref="N16:N200" si="4">ROUND((M16*0.2943),0)</f>
        <v>0</v>
      </c>
      <c r="O16" s="45">
        <v>0</v>
      </c>
      <c r="P16" s="45">
        <v>0</v>
      </c>
      <c r="Q16" s="45">
        <f t="shared" si="1"/>
        <v>0</v>
      </c>
      <c r="R16" s="45">
        <v>0</v>
      </c>
      <c r="S16" s="45">
        <v>0</v>
      </c>
      <c r="T16" s="45">
        <v>0</v>
      </c>
      <c r="U16" s="45">
        <f t="shared" si="2"/>
        <v>0</v>
      </c>
      <c r="V16" s="45">
        <f t="shared" si="3"/>
        <v>0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1:76">
      <c r="A17" s="39">
        <v>5</v>
      </c>
      <c r="B17" s="40" t="s">
        <v>70</v>
      </c>
      <c r="C17" s="78" t="s">
        <v>71</v>
      </c>
      <c r="D17" s="47" t="s">
        <v>257</v>
      </c>
      <c r="E17" s="102" t="s">
        <v>450</v>
      </c>
      <c r="F17" s="105">
        <v>43495</v>
      </c>
      <c r="G17" s="152" t="s">
        <v>72</v>
      </c>
      <c r="H17" s="74">
        <f>75392</f>
        <v>75392</v>
      </c>
      <c r="I17" s="69">
        <v>0</v>
      </c>
      <c r="J17" s="41">
        <v>0</v>
      </c>
      <c r="K17" s="145"/>
      <c r="L17" s="146">
        <v>0</v>
      </c>
      <c r="M17" s="45">
        <f t="shared" si="0"/>
        <v>75392</v>
      </c>
      <c r="N17" s="45">
        <f t="shared" si="4"/>
        <v>22188</v>
      </c>
      <c r="O17" s="43">
        <f>495</f>
        <v>495</v>
      </c>
      <c r="P17" s="45">
        <v>0</v>
      </c>
      <c r="Q17" s="45">
        <f t="shared" si="1"/>
        <v>1093</v>
      </c>
      <c r="R17" s="104">
        <f>187</f>
        <v>187</v>
      </c>
      <c r="S17" s="45">
        <v>13493</v>
      </c>
      <c r="T17" s="45">
        <v>404</v>
      </c>
      <c r="U17" s="45">
        <f t="shared" si="2"/>
        <v>37860</v>
      </c>
      <c r="V17" s="45">
        <f t="shared" si="3"/>
        <v>113252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1:76">
      <c r="A18" s="39">
        <v>6</v>
      </c>
      <c r="B18" s="49" t="s">
        <v>73</v>
      </c>
      <c r="C18" s="78" t="s">
        <v>215</v>
      </c>
      <c r="D18" s="66" t="s">
        <v>325</v>
      </c>
      <c r="E18" s="103" t="s">
        <v>450</v>
      </c>
      <c r="F18" s="105">
        <v>44975</v>
      </c>
      <c r="G18" s="153" t="s">
        <v>148</v>
      </c>
      <c r="H18" s="74">
        <v>41372</v>
      </c>
      <c r="I18" s="69">
        <v>0</v>
      </c>
      <c r="J18" s="41">
        <v>0</v>
      </c>
      <c r="K18" s="145"/>
      <c r="L18" s="146">
        <v>0</v>
      </c>
      <c r="M18" s="45">
        <f t="shared" si="0"/>
        <v>41372</v>
      </c>
      <c r="N18" s="45">
        <f t="shared" si="4"/>
        <v>12176</v>
      </c>
      <c r="O18" s="43">
        <f>495</f>
        <v>495</v>
      </c>
      <c r="P18" s="45">
        <v>0</v>
      </c>
      <c r="Q18" s="45">
        <f t="shared" si="1"/>
        <v>600</v>
      </c>
      <c r="R18" s="104">
        <f>187</f>
        <v>187</v>
      </c>
      <c r="S18" s="45">
        <v>8551</v>
      </c>
      <c r="T18" s="45">
        <v>342</v>
      </c>
      <c r="U18" s="45">
        <f t="shared" si="2"/>
        <v>22351</v>
      </c>
      <c r="V18" s="45">
        <f t="shared" si="3"/>
        <v>63723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</row>
    <row r="19" spans="1:76">
      <c r="A19" s="39">
        <v>7</v>
      </c>
      <c r="B19" s="50" t="s">
        <v>74</v>
      </c>
      <c r="C19" s="79" t="s">
        <v>75</v>
      </c>
      <c r="D19" s="75" t="s">
        <v>258</v>
      </c>
      <c r="E19" s="102" t="s">
        <v>450</v>
      </c>
      <c r="F19" s="105">
        <v>44606</v>
      </c>
      <c r="G19" s="152" t="s">
        <v>76</v>
      </c>
      <c r="H19" s="61">
        <f>37580</f>
        <v>37580</v>
      </c>
      <c r="I19" s="69">
        <v>0</v>
      </c>
      <c r="J19" s="41">
        <v>0</v>
      </c>
      <c r="K19" s="145"/>
      <c r="L19" s="146">
        <v>0</v>
      </c>
      <c r="M19" s="45">
        <f t="shared" si="0"/>
        <v>37580</v>
      </c>
      <c r="N19" s="45">
        <f t="shared" si="4"/>
        <v>11060</v>
      </c>
      <c r="O19" s="43">
        <f>495</f>
        <v>495</v>
      </c>
      <c r="P19" s="45">
        <v>0</v>
      </c>
      <c r="Q19" s="45">
        <f t="shared" si="1"/>
        <v>545</v>
      </c>
      <c r="R19" s="104">
        <f>187</f>
        <v>187</v>
      </c>
      <c r="S19" s="45">
        <v>8551</v>
      </c>
      <c r="T19" s="45">
        <v>342</v>
      </c>
      <c r="U19" s="45">
        <f t="shared" si="2"/>
        <v>21180</v>
      </c>
      <c r="V19" s="45">
        <f t="shared" si="3"/>
        <v>58760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76">
      <c r="A20" s="39">
        <v>8</v>
      </c>
      <c r="B20" s="51" t="s">
        <v>77</v>
      </c>
      <c r="C20" s="120" t="s">
        <v>78</v>
      </c>
      <c r="D20" s="47" t="s">
        <v>472</v>
      </c>
      <c r="E20" s="89" t="s">
        <v>449</v>
      </c>
      <c r="F20" s="106"/>
      <c r="G20" s="64" t="s">
        <v>79</v>
      </c>
      <c r="H20" s="65">
        <f>32355</f>
        <v>32355</v>
      </c>
      <c r="I20" s="69">
        <v>0</v>
      </c>
      <c r="J20" s="41">
        <v>0</v>
      </c>
      <c r="K20" s="145"/>
      <c r="L20" s="146">
        <v>0</v>
      </c>
      <c r="M20" s="45">
        <f t="shared" si="0"/>
        <v>32355</v>
      </c>
      <c r="N20" s="45">
        <f t="shared" si="4"/>
        <v>9522</v>
      </c>
      <c r="O20" s="43">
        <f>495</f>
        <v>495</v>
      </c>
      <c r="P20" s="45">
        <v>0</v>
      </c>
      <c r="Q20" s="45">
        <f t="shared" si="1"/>
        <v>469</v>
      </c>
      <c r="R20" s="104">
        <f>187</f>
        <v>187</v>
      </c>
      <c r="S20" s="45">
        <v>8310</v>
      </c>
      <c r="T20" s="45">
        <v>486</v>
      </c>
      <c r="U20" s="45">
        <f t="shared" si="2"/>
        <v>19469</v>
      </c>
      <c r="V20" s="45">
        <f t="shared" si="3"/>
        <v>51824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76">
      <c r="A21" s="39">
        <v>9</v>
      </c>
      <c r="B21" s="51" t="s">
        <v>80</v>
      </c>
      <c r="C21" s="46" t="s">
        <v>78</v>
      </c>
      <c r="D21" s="47" t="s">
        <v>472</v>
      </c>
      <c r="E21" s="89" t="s">
        <v>449</v>
      </c>
      <c r="F21" s="110"/>
      <c r="G21" s="46" t="s">
        <v>79</v>
      </c>
      <c r="H21" s="65">
        <v>32355</v>
      </c>
      <c r="I21" s="69">
        <v>0</v>
      </c>
      <c r="J21" s="41">
        <v>0</v>
      </c>
      <c r="K21" s="145"/>
      <c r="L21" s="146">
        <v>0</v>
      </c>
      <c r="M21" s="45">
        <f t="shared" si="0"/>
        <v>32355</v>
      </c>
      <c r="N21" s="45">
        <f t="shared" si="4"/>
        <v>9522</v>
      </c>
      <c r="O21" s="45">
        <v>495</v>
      </c>
      <c r="P21" s="45">
        <v>0</v>
      </c>
      <c r="Q21" s="45">
        <f t="shared" si="1"/>
        <v>469</v>
      </c>
      <c r="R21" s="45">
        <v>187</v>
      </c>
      <c r="S21" s="45">
        <v>8310</v>
      </c>
      <c r="T21" s="45">
        <v>486</v>
      </c>
      <c r="U21" s="45">
        <f t="shared" si="2"/>
        <v>19469</v>
      </c>
      <c r="V21" s="45">
        <f t="shared" si="3"/>
        <v>51824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</row>
    <row r="22" spans="1:76">
      <c r="A22" s="39">
        <v>10</v>
      </c>
      <c r="B22" s="51" t="s">
        <v>81</v>
      </c>
      <c r="C22" s="46" t="s">
        <v>78</v>
      </c>
      <c r="D22" s="47" t="s">
        <v>472</v>
      </c>
      <c r="E22" s="89" t="s">
        <v>449</v>
      </c>
      <c r="F22" s="107"/>
      <c r="G22" s="46" t="s">
        <v>79</v>
      </c>
      <c r="H22" s="65">
        <v>32355</v>
      </c>
      <c r="I22" s="69">
        <v>0</v>
      </c>
      <c r="J22" s="41">
        <v>0</v>
      </c>
      <c r="K22" s="145"/>
      <c r="L22" s="146">
        <v>0</v>
      </c>
      <c r="M22" s="45">
        <f t="shared" si="0"/>
        <v>32355</v>
      </c>
      <c r="N22" s="45">
        <f t="shared" si="4"/>
        <v>9522</v>
      </c>
      <c r="O22" s="45">
        <v>495</v>
      </c>
      <c r="P22" s="45">
        <v>0</v>
      </c>
      <c r="Q22" s="45">
        <f t="shared" si="1"/>
        <v>469</v>
      </c>
      <c r="R22" s="45">
        <v>187</v>
      </c>
      <c r="S22" s="45">
        <v>8310</v>
      </c>
      <c r="T22" s="45">
        <v>486</v>
      </c>
      <c r="U22" s="45">
        <f t="shared" si="2"/>
        <v>19469</v>
      </c>
      <c r="V22" s="45">
        <f t="shared" si="3"/>
        <v>51824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</row>
    <row r="23" spans="1:76">
      <c r="A23" s="39">
        <v>11</v>
      </c>
      <c r="B23" s="51" t="s">
        <v>82</v>
      </c>
      <c r="C23" s="46" t="s">
        <v>110</v>
      </c>
      <c r="D23" s="47" t="s">
        <v>472</v>
      </c>
      <c r="E23" s="89" t="s">
        <v>449</v>
      </c>
      <c r="F23" s="105"/>
      <c r="G23" s="154" t="s">
        <v>69</v>
      </c>
      <c r="H23" s="65">
        <v>34886</v>
      </c>
      <c r="I23" s="69">
        <v>0</v>
      </c>
      <c r="J23" s="41">
        <v>0</v>
      </c>
      <c r="K23" s="145"/>
      <c r="L23" s="146">
        <v>0</v>
      </c>
      <c r="M23" s="45">
        <f t="shared" si="0"/>
        <v>34886</v>
      </c>
      <c r="N23" s="45">
        <f t="shared" si="4"/>
        <v>10267</v>
      </c>
      <c r="O23" s="45">
        <v>495</v>
      </c>
      <c r="P23" s="45">
        <v>0</v>
      </c>
      <c r="Q23" s="45">
        <f t="shared" si="1"/>
        <v>506</v>
      </c>
      <c r="R23" s="45">
        <v>187</v>
      </c>
      <c r="S23" s="45">
        <v>8310</v>
      </c>
      <c r="T23" s="45">
        <v>486</v>
      </c>
      <c r="U23" s="45">
        <f t="shared" si="2"/>
        <v>20251</v>
      </c>
      <c r="V23" s="45">
        <f t="shared" si="3"/>
        <v>55137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</row>
    <row r="24" spans="1:76">
      <c r="A24" s="39">
        <v>12</v>
      </c>
      <c r="B24" s="67" t="s">
        <v>478</v>
      </c>
      <c r="C24" s="46" t="s">
        <v>110</v>
      </c>
      <c r="D24" s="47" t="s">
        <v>472</v>
      </c>
      <c r="E24" s="89" t="s">
        <v>449</v>
      </c>
      <c r="F24" s="105"/>
      <c r="G24" s="154" t="s">
        <v>69</v>
      </c>
      <c r="H24" s="65">
        <v>34886</v>
      </c>
      <c r="I24" s="69">
        <v>0</v>
      </c>
      <c r="J24" s="41">
        <v>0</v>
      </c>
      <c r="K24" s="145"/>
      <c r="L24" s="146">
        <v>0</v>
      </c>
      <c r="M24" s="45">
        <f t="shared" ref="M24" si="5">(+H24+I24+J24+L24)</f>
        <v>34886</v>
      </c>
      <c r="N24" s="45">
        <f t="shared" ref="N24" si="6">ROUND((M24*0.2943),0)</f>
        <v>10267</v>
      </c>
      <c r="O24" s="45">
        <v>495</v>
      </c>
      <c r="P24" s="45">
        <v>0</v>
      </c>
      <c r="Q24" s="45">
        <f t="shared" ref="Q24" si="7">ROUND((M24*0.0145),0)</f>
        <v>506</v>
      </c>
      <c r="R24" s="45">
        <v>187</v>
      </c>
      <c r="S24" s="45">
        <v>8310</v>
      </c>
      <c r="T24" s="45">
        <v>486</v>
      </c>
      <c r="U24" s="45">
        <f t="shared" ref="U24" si="8">+N24+O24+P24+Q24+R24+S24+T24</f>
        <v>20251</v>
      </c>
      <c r="V24" s="45">
        <f t="shared" ref="V24" si="9">+M24+U24</f>
        <v>55137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</row>
    <row r="25" spans="1:76">
      <c r="A25" s="39">
        <v>13</v>
      </c>
      <c r="B25" s="72" t="s">
        <v>265</v>
      </c>
      <c r="C25" s="85" t="s">
        <v>266</v>
      </c>
      <c r="D25" s="111" t="s">
        <v>342</v>
      </c>
      <c r="E25" s="113"/>
      <c r="F25" s="112"/>
      <c r="G25" s="59" t="s">
        <v>267</v>
      </c>
      <c r="H25" s="68">
        <v>0</v>
      </c>
      <c r="I25" s="69">
        <v>0</v>
      </c>
      <c r="J25" s="41">
        <v>0</v>
      </c>
      <c r="K25" s="161"/>
      <c r="L25" s="164">
        <v>0</v>
      </c>
      <c r="M25" s="45">
        <f t="shared" si="0"/>
        <v>0</v>
      </c>
      <c r="N25" s="45">
        <f t="shared" si="4"/>
        <v>0</v>
      </c>
      <c r="O25" s="70">
        <v>0</v>
      </c>
      <c r="P25" s="42">
        <v>0</v>
      </c>
      <c r="Q25" s="45">
        <f t="shared" si="1"/>
        <v>0</v>
      </c>
      <c r="R25" s="70">
        <v>0</v>
      </c>
      <c r="S25" s="178">
        <v>0</v>
      </c>
      <c r="T25" s="178">
        <v>0</v>
      </c>
      <c r="U25" s="45">
        <f t="shared" si="2"/>
        <v>0</v>
      </c>
      <c r="V25" s="45">
        <f t="shared" si="3"/>
        <v>0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</row>
    <row r="26" spans="1:76" ht="12.95" customHeight="1">
      <c r="A26" s="39">
        <v>14</v>
      </c>
      <c r="B26" s="49" t="s">
        <v>268</v>
      </c>
      <c r="C26" s="124" t="s">
        <v>269</v>
      </c>
      <c r="D26" s="66" t="s">
        <v>270</v>
      </c>
      <c r="E26" s="125" t="s">
        <v>473</v>
      </c>
      <c r="F26" s="109">
        <v>44690</v>
      </c>
      <c r="G26" s="64" t="s">
        <v>148</v>
      </c>
      <c r="H26" s="60">
        <f>41372</f>
        <v>41372</v>
      </c>
      <c r="I26" s="69">
        <v>0</v>
      </c>
      <c r="J26" s="69">
        <v>0</v>
      </c>
      <c r="K26" s="165">
        <v>45965</v>
      </c>
      <c r="L26" s="63">
        <f>1437/4</f>
        <v>359.25</v>
      </c>
      <c r="M26" s="63">
        <f t="shared" si="0"/>
        <v>41731.25</v>
      </c>
      <c r="N26" s="63">
        <f t="shared" si="4"/>
        <v>12282</v>
      </c>
      <c r="O26" s="115">
        <f>495</f>
        <v>495</v>
      </c>
      <c r="P26" s="63">
        <v>0</v>
      </c>
      <c r="Q26" s="63">
        <f t="shared" si="1"/>
        <v>605</v>
      </c>
      <c r="R26" s="119">
        <f>187</f>
        <v>187</v>
      </c>
      <c r="S26" s="60">
        <v>0</v>
      </c>
      <c r="T26" s="60">
        <v>342</v>
      </c>
      <c r="U26" s="63">
        <f t="shared" si="2"/>
        <v>13911</v>
      </c>
      <c r="V26" s="63">
        <f t="shared" si="3"/>
        <v>55642.25</v>
      </c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</row>
    <row r="27" spans="1:76" ht="12.95" customHeight="1">
      <c r="A27" s="39">
        <v>15</v>
      </c>
      <c r="B27" s="49" t="s">
        <v>271</v>
      </c>
      <c r="C27" s="86" t="s">
        <v>272</v>
      </c>
      <c r="D27" s="66" t="s">
        <v>93</v>
      </c>
      <c r="E27" s="97"/>
      <c r="F27" s="109"/>
      <c r="G27" s="64" t="s">
        <v>144</v>
      </c>
      <c r="H27" s="61">
        <v>0</v>
      </c>
      <c r="I27" s="69">
        <v>0</v>
      </c>
      <c r="J27" s="41">
        <v>0</v>
      </c>
      <c r="K27" s="162"/>
      <c r="L27" s="45">
        <v>0</v>
      </c>
      <c r="M27" s="45">
        <f t="shared" si="0"/>
        <v>0</v>
      </c>
      <c r="N27" s="45">
        <f t="shared" si="4"/>
        <v>0</v>
      </c>
      <c r="O27" s="60">
        <v>0</v>
      </c>
      <c r="P27" s="45">
        <v>0</v>
      </c>
      <c r="Q27" s="45">
        <f t="shared" si="1"/>
        <v>0</v>
      </c>
      <c r="R27" s="60">
        <v>0</v>
      </c>
      <c r="S27" s="60">
        <v>0</v>
      </c>
      <c r="T27" s="60">
        <v>0</v>
      </c>
      <c r="U27" s="45">
        <f t="shared" si="2"/>
        <v>0</v>
      </c>
      <c r="V27" s="45">
        <f t="shared" si="3"/>
        <v>0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</row>
    <row r="28" spans="1:76" ht="12.95" customHeight="1">
      <c r="A28" s="39">
        <v>16</v>
      </c>
      <c r="B28" s="50" t="s">
        <v>273</v>
      </c>
      <c r="C28" s="85" t="s">
        <v>102</v>
      </c>
      <c r="D28" s="81" t="s">
        <v>129</v>
      </c>
      <c r="E28" s="97" t="s">
        <v>473</v>
      </c>
      <c r="F28" s="109"/>
      <c r="G28" s="64" t="s">
        <v>79</v>
      </c>
      <c r="H28" s="60">
        <f>32355</f>
        <v>32355</v>
      </c>
      <c r="I28" s="69">
        <v>0</v>
      </c>
      <c r="J28" s="41">
        <v>0</v>
      </c>
      <c r="K28" s="162"/>
      <c r="L28" s="45">
        <v>0</v>
      </c>
      <c r="M28" s="45">
        <f t="shared" si="0"/>
        <v>32355</v>
      </c>
      <c r="N28" s="45">
        <f t="shared" si="4"/>
        <v>9522</v>
      </c>
      <c r="O28" s="43">
        <f>495</f>
        <v>495</v>
      </c>
      <c r="P28" s="45">
        <v>0</v>
      </c>
      <c r="Q28" s="45">
        <f t="shared" si="1"/>
        <v>469</v>
      </c>
      <c r="R28" s="104">
        <f>187</f>
        <v>187</v>
      </c>
      <c r="S28" s="60">
        <v>8310</v>
      </c>
      <c r="T28" s="60">
        <v>486</v>
      </c>
      <c r="U28" s="45">
        <f t="shared" si="2"/>
        <v>19469</v>
      </c>
      <c r="V28" s="45">
        <f t="shared" si="3"/>
        <v>51824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</row>
    <row r="29" spans="1:76" ht="12.95" customHeight="1">
      <c r="A29" s="39">
        <v>17</v>
      </c>
      <c r="B29" s="50" t="s">
        <v>275</v>
      </c>
      <c r="C29" s="85" t="s">
        <v>102</v>
      </c>
      <c r="D29" s="66" t="s">
        <v>93</v>
      </c>
      <c r="E29" s="97"/>
      <c r="F29" s="109"/>
      <c r="G29" s="64" t="s">
        <v>79</v>
      </c>
      <c r="H29" s="61">
        <v>0</v>
      </c>
      <c r="I29" s="69">
        <v>0</v>
      </c>
      <c r="J29" s="41">
        <v>0</v>
      </c>
      <c r="K29" s="162"/>
      <c r="L29" s="45">
        <v>0</v>
      </c>
      <c r="M29" s="45">
        <f t="shared" si="0"/>
        <v>0</v>
      </c>
      <c r="N29" s="45">
        <f t="shared" si="4"/>
        <v>0</v>
      </c>
      <c r="O29" s="60">
        <v>0</v>
      </c>
      <c r="P29" s="45">
        <v>0</v>
      </c>
      <c r="Q29" s="45">
        <f t="shared" si="1"/>
        <v>0</v>
      </c>
      <c r="R29" s="60">
        <v>0</v>
      </c>
      <c r="S29" s="60">
        <v>0</v>
      </c>
      <c r="T29" s="60">
        <v>0</v>
      </c>
      <c r="U29" s="45">
        <f t="shared" si="2"/>
        <v>0</v>
      </c>
      <c r="V29" s="45">
        <f t="shared" si="3"/>
        <v>0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</row>
    <row r="30" spans="1:76" ht="12.95" customHeight="1">
      <c r="A30" s="39">
        <v>18</v>
      </c>
      <c r="B30" s="50" t="s">
        <v>276</v>
      </c>
      <c r="C30" s="87" t="s">
        <v>277</v>
      </c>
      <c r="D30" s="66" t="s">
        <v>93</v>
      </c>
      <c r="E30" s="97"/>
      <c r="F30" s="109"/>
      <c r="G30" s="64" t="s">
        <v>79</v>
      </c>
      <c r="H30" s="61">
        <v>0</v>
      </c>
      <c r="I30" s="69">
        <v>0</v>
      </c>
      <c r="J30" s="41">
        <v>0</v>
      </c>
      <c r="K30" s="162"/>
      <c r="L30" s="163">
        <v>0</v>
      </c>
      <c r="M30" s="45">
        <f t="shared" si="0"/>
        <v>0</v>
      </c>
      <c r="N30" s="45">
        <f t="shared" si="4"/>
        <v>0</v>
      </c>
      <c r="O30" s="60">
        <v>0</v>
      </c>
      <c r="P30" s="45">
        <v>0</v>
      </c>
      <c r="Q30" s="45">
        <f t="shared" si="1"/>
        <v>0</v>
      </c>
      <c r="R30" s="60">
        <v>0</v>
      </c>
      <c r="S30" s="60">
        <v>0</v>
      </c>
      <c r="T30" s="60">
        <v>0</v>
      </c>
      <c r="U30" s="45">
        <f t="shared" si="2"/>
        <v>0</v>
      </c>
      <c r="V30" s="45">
        <f t="shared" si="3"/>
        <v>0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</row>
    <row r="31" spans="1:76" ht="12.95" customHeight="1">
      <c r="A31" s="39">
        <v>19</v>
      </c>
      <c r="B31" s="50" t="s">
        <v>278</v>
      </c>
      <c r="C31" s="87" t="s">
        <v>277</v>
      </c>
      <c r="D31" s="66" t="s">
        <v>279</v>
      </c>
      <c r="E31" s="97" t="s">
        <v>473</v>
      </c>
      <c r="F31" s="109">
        <v>44900</v>
      </c>
      <c r="G31" s="64" t="s">
        <v>79</v>
      </c>
      <c r="H31" s="82">
        <f>32355</f>
        <v>32355</v>
      </c>
      <c r="I31" s="69">
        <v>0</v>
      </c>
      <c r="J31" s="41">
        <v>0</v>
      </c>
      <c r="K31" s="162"/>
      <c r="L31" s="166">
        <v>0</v>
      </c>
      <c r="M31" s="45">
        <f t="shared" si="0"/>
        <v>32355</v>
      </c>
      <c r="N31" s="45">
        <f t="shared" si="4"/>
        <v>9522</v>
      </c>
      <c r="O31" s="43">
        <f>495</f>
        <v>495</v>
      </c>
      <c r="P31" s="45">
        <v>0</v>
      </c>
      <c r="Q31" s="45">
        <f t="shared" si="1"/>
        <v>469</v>
      </c>
      <c r="R31" s="104">
        <f>187</f>
        <v>187</v>
      </c>
      <c r="S31" s="60">
        <v>4801</v>
      </c>
      <c r="T31" s="60">
        <v>342</v>
      </c>
      <c r="U31" s="45">
        <f t="shared" si="2"/>
        <v>15816</v>
      </c>
      <c r="V31" s="45">
        <f t="shared" si="3"/>
        <v>48171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</row>
    <row r="32" spans="1:76" ht="12.95" customHeight="1">
      <c r="A32" s="39">
        <v>20</v>
      </c>
      <c r="B32" s="50" t="s">
        <v>280</v>
      </c>
      <c r="C32" s="85" t="s">
        <v>102</v>
      </c>
      <c r="D32" s="66" t="s">
        <v>281</v>
      </c>
      <c r="E32" s="97" t="s">
        <v>473</v>
      </c>
      <c r="F32" s="109">
        <v>44956</v>
      </c>
      <c r="G32" s="64" t="s">
        <v>79</v>
      </c>
      <c r="H32" s="62">
        <f>32355</f>
        <v>32355</v>
      </c>
      <c r="I32" s="69">
        <v>0</v>
      </c>
      <c r="J32" s="41">
        <v>0</v>
      </c>
      <c r="K32" s="145"/>
      <c r="L32" s="146">
        <v>0</v>
      </c>
      <c r="M32" s="45">
        <f t="shared" si="0"/>
        <v>32355</v>
      </c>
      <c r="N32" s="45">
        <f t="shared" si="4"/>
        <v>9522</v>
      </c>
      <c r="O32" s="43">
        <f>495</f>
        <v>495</v>
      </c>
      <c r="P32" s="45">
        <v>0</v>
      </c>
      <c r="Q32" s="45">
        <f t="shared" si="1"/>
        <v>469</v>
      </c>
      <c r="R32" s="104">
        <f>187</f>
        <v>187</v>
      </c>
      <c r="S32" s="60">
        <v>0</v>
      </c>
      <c r="T32" s="60">
        <v>0</v>
      </c>
      <c r="U32" s="45">
        <f t="shared" si="2"/>
        <v>10673</v>
      </c>
      <c r="V32" s="45">
        <f t="shared" si="3"/>
        <v>43028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</row>
    <row r="33" spans="1:76" ht="12.95" customHeight="1">
      <c r="A33" s="39">
        <v>21</v>
      </c>
      <c r="B33" s="50" t="s">
        <v>282</v>
      </c>
      <c r="C33" s="87" t="s">
        <v>272</v>
      </c>
      <c r="D33" s="66" t="s">
        <v>93</v>
      </c>
      <c r="E33" s="80"/>
      <c r="F33" s="109"/>
      <c r="G33" s="64" t="s">
        <v>144</v>
      </c>
      <c r="H33" s="62">
        <v>0</v>
      </c>
      <c r="I33" s="69">
        <v>0</v>
      </c>
      <c r="J33" s="41">
        <v>0</v>
      </c>
      <c r="K33" s="145"/>
      <c r="L33" s="146">
        <v>0</v>
      </c>
      <c r="M33" s="45">
        <f t="shared" si="0"/>
        <v>0</v>
      </c>
      <c r="N33" s="45">
        <f t="shared" si="4"/>
        <v>0</v>
      </c>
      <c r="O33" s="60">
        <v>0</v>
      </c>
      <c r="P33" s="45">
        <v>0</v>
      </c>
      <c r="Q33" s="45">
        <f t="shared" si="1"/>
        <v>0</v>
      </c>
      <c r="R33" s="60">
        <v>0</v>
      </c>
      <c r="S33" s="60">
        <v>0</v>
      </c>
      <c r="T33" s="60">
        <v>0</v>
      </c>
      <c r="U33" s="45">
        <f t="shared" si="2"/>
        <v>0</v>
      </c>
      <c r="V33" s="45">
        <f t="shared" si="3"/>
        <v>0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</row>
    <row r="34" spans="1:76" ht="12.95" customHeight="1">
      <c r="A34" s="39">
        <v>22</v>
      </c>
      <c r="B34" s="50" t="s">
        <v>283</v>
      </c>
      <c r="C34" s="52" t="s">
        <v>215</v>
      </c>
      <c r="D34" s="80" t="s">
        <v>435</v>
      </c>
      <c r="E34" s="97" t="s">
        <v>473</v>
      </c>
      <c r="F34" s="110">
        <v>44515</v>
      </c>
      <c r="G34" s="64" t="s">
        <v>94</v>
      </c>
      <c r="H34" s="60">
        <v>41372</v>
      </c>
      <c r="I34" s="69">
        <v>0</v>
      </c>
      <c r="J34" s="41">
        <v>0</v>
      </c>
      <c r="K34" s="145"/>
      <c r="L34" s="146">
        <v>0</v>
      </c>
      <c r="M34" s="45">
        <f t="shared" si="0"/>
        <v>41372</v>
      </c>
      <c r="N34" s="45">
        <f t="shared" si="4"/>
        <v>12176</v>
      </c>
      <c r="O34" s="43">
        <f>495</f>
        <v>495</v>
      </c>
      <c r="P34" s="45">
        <v>0</v>
      </c>
      <c r="Q34" s="45">
        <f t="shared" si="1"/>
        <v>600</v>
      </c>
      <c r="R34" s="60">
        <v>0</v>
      </c>
      <c r="S34" s="60">
        <v>4801</v>
      </c>
      <c r="T34" s="60">
        <v>0</v>
      </c>
      <c r="U34" s="45">
        <f t="shared" si="2"/>
        <v>18072</v>
      </c>
      <c r="V34" s="45">
        <f t="shared" si="3"/>
        <v>59444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</row>
    <row r="35" spans="1:76" ht="12.95" customHeight="1">
      <c r="A35" s="39">
        <v>23</v>
      </c>
      <c r="B35" s="72" t="s">
        <v>286</v>
      </c>
      <c r="C35" s="83" t="s">
        <v>287</v>
      </c>
      <c r="D35" s="58" t="s">
        <v>93</v>
      </c>
      <c r="E35" s="97"/>
      <c r="F35" s="108"/>
      <c r="G35" s="40" t="s">
        <v>158</v>
      </c>
      <c r="H35" s="68">
        <v>0</v>
      </c>
      <c r="I35" s="69">
        <v>0</v>
      </c>
      <c r="J35" s="41">
        <v>0</v>
      </c>
      <c r="K35" s="161"/>
      <c r="L35" s="41">
        <v>0</v>
      </c>
      <c r="M35" s="45">
        <f t="shared" si="0"/>
        <v>0</v>
      </c>
      <c r="N35" s="45">
        <f t="shared" si="4"/>
        <v>0</v>
      </c>
      <c r="O35" s="42">
        <v>0</v>
      </c>
      <c r="P35" s="42">
        <v>0</v>
      </c>
      <c r="Q35" s="45">
        <f t="shared" si="1"/>
        <v>0</v>
      </c>
      <c r="R35" s="42">
        <v>0</v>
      </c>
      <c r="S35" s="179">
        <v>0</v>
      </c>
      <c r="T35" s="179">
        <v>0</v>
      </c>
      <c r="U35" s="45">
        <f t="shared" si="2"/>
        <v>0</v>
      </c>
      <c r="V35" s="45">
        <f t="shared" si="3"/>
        <v>0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</row>
    <row r="36" spans="1:76" ht="12.95" customHeight="1">
      <c r="A36" s="39">
        <v>24</v>
      </c>
      <c r="B36" s="50" t="s">
        <v>288</v>
      </c>
      <c r="C36" s="40" t="s">
        <v>289</v>
      </c>
      <c r="D36" s="58" t="s">
        <v>93</v>
      </c>
      <c r="E36" s="97"/>
      <c r="F36" s="109"/>
      <c r="G36" s="46" t="s">
        <v>290</v>
      </c>
      <c r="H36" s="60">
        <v>0</v>
      </c>
      <c r="I36" s="69">
        <v>0</v>
      </c>
      <c r="J36" s="41">
        <v>0</v>
      </c>
      <c r="K36" s="162"/>
      <c r="L36" s="163">
        <v>0</v>
      </c>
      <c r="M36" s="45">
        <f t="shared" si="0"/>
        <v>0</v>
      </c>
      <c r="N36" s="45">
        <f t="shared" si="4"/>
        <v>0</v>
      </c>
      <c r="O36" s="45">
        <v>0</v>
      </c>
      <c r="P36" s="45">
        <v>0</v>
      </c>
      <c r="Q36" s="45">
        <f t="shared" si="1"/>
        <v>0</v>
      </c>
      <c r="R36" s="45">
        <v>0</v>
      </c>
      <c r="S36" s="45">
        <v>0</v>
      </c>
      <c r="T36" s="45">
        <v>0</v>
      </c>
      <c r="U36" s="45">
        <f t="shared" si="2"/>
        <v>0</v>
      </c>
      <c r="V36" s="45">
        <f t="shared" si="3"/>
        <v>0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</row>
    <row r="37" spans="1:76" ht="12.95" customHeight="1">
      <c r="A37" s="39">
        <v>25</v>
      </c>
      <c r="B37" s="50" t="s">
        <v>291</v>
      </c>
      <c r="C37" s="40" t="s">
        <v>292</v>
      </c>
      <c r="D37" s="58" t="s">
        <v>93</v>
      </c>
      <c r="E37" s="97"/>
      <c r="F37" s="109"/>
      <c r="G37" s="46" t="s">
        <v>290</v>
      </c>
      <c r="H37" s="60">
        <v>0</v>
      </c>
      <c r="I37" s="69">
        <v>0</v>
      </c>
      <c r="J37" s="41">
        <v>0</v>
      </c>
      <c r="K37" s="162"/>
      <c r="L37" s="163">
        <v>0</v>
      </c>
      <c r="M37" s="45">
        <f t="shared" si="0"/>
        <v>0</v>
      </c>
      <c r="N37" s="45">
        <f t="shared" si="4"/>
        <v>0</v>
      </c>
      <c r="O37" s="45">
        <v>0</v>
      </c>
      <c r="P37" s="45">
        <v>0</v>
      </c>
      <c r="Q37" s="45">
        <f t="shared" si="1"/>
        <v>0</v>
      </c>
      <c r="R37" s="45">
        <v>0</v>
      </c>
      <c r="S37" s="45">
        <v>0</v>
      </c>
      <c r="T37" s="45">
        <v>0</v>
      </c>
      <c r="U37" s="45">
        <f t="shared" si="2"/>
        <v>0</v>
      </c>
      <c r="V37" s="45">
        <f t="shared" si="3"/>
        <v>0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</row>
    <row r="38" spans="1:76" ht="12.95" customHeight="1">
      <c r="A38" s="39">
        <v>26</v>
      </c>
      <c r="B38" s="49" t="s">
        <v>284</v>
      </c>
      <c r="C38" s="88" t="s">
        <v>285</v>
      </c>
      <c r="D38" s="81" t="s">
        <v>93</v>
      </c>
      <c r="E38" s="97"/>
      <c r="F38" s="109"/>
      <c r="G38" s="76" t="s">
        <v>148</v>
      </c>
      <c r="H38" s="60">
        <v>0</v>
      </c>
      <c r="I38" s="69">
        <v>0</v>
      </c>
      <c r="J38" s="41">
        <v>0</v>
      </c>
      <c r="K38" s="145"/>
      <c r="L38" s="146">
        <v>0</v>
      </c>
      <c r="M38" s="45">
        <f t="shared" si="0"/>
        <v>0</v>
      </c>
      <c r="N38" s="45">
        <f t="shared" si="4"/>
        <v>0</v>
      </c>
      <c r="O38" s="45">
        <v>0</v>
      </c>
      <c r="P38" s="45">
        <v>0</v>
      </c>
      <c r="Q38" s="45">
        <f t="shared" si="1"/>
        <v>0</v>
      </c>
      <c r="R38" s="60">
        <v>0</v>
      </c>
      <c r="S38" s="60">
        <v>0</v>
      </c>
      <c r="T38" s="60">
        <v>0</v>
      </c>
      <c r="U38" s="45">
        <f t="shared" si="2"/>
        <v>0</v>
      </c>
      <c r="V38" s="45">
        <f t="shared" si="3"/>
        <v>0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</row>
    <row r="39" spans="1:76">
      <c r="A39" s="39">
        <v>27</v>
      </c>
      <c r="B39" s="40">
        <v>1100</v>
      </c>
      <c r="C39" s="46" t="s">
        <v>85</v>
      </c>
      <c r="D39" s="77" t="s">
        <v>86</v>
      </c>
      <c r="E39" s="89" t="s">
        <v>448</v>
      </c>
      <c r="F39" s="107">
        <v>39028</v>
      </c>
      <c r="G39" s="46" t="s">
        <v>87</v>
      </c>
      <c r="H39" s="65">
        <f>77783</f>
        <v>77783</v>
      </c>
      <c r="I39" s="69">
        <v>0</v>
      </c>
      <c r="J39" s="41">
        <v>0</v>
      </c>
      <c r="K39" s="145">
        <v>45831</v>
      </c>
      <c r="L39" s="146">
        <f>823/4</f>
        <v>205.75</v>
      </c>
      <c r="M39" s="45">
        <f t="shared" si="0"/>
        <v>77988.75</v>
      </c>
      <c r="N39" s="45">
        <f>ROUND((M39*0.2943),0)</f>
        <v>22952</v>
      </c>
      <c r="O39" s="43">
        <f>495</f>
        <v>495</v>
      </c>
      <c r="P39" s="45">
        <v>0</v>
      </c>
      <c r="Q39" s="45">
        <f t="shared" si="1"/>
        <v>1131</v>
      </c>
      <c r="R39" s="121">
        <f>187</f>
        <v>187</v>
      </c>
      <c r="S39" s="45">
        <v>15868</v>
      </c>
      <c r="T39" s="45">
        <v>486</v>
      </c>
      <c r="U39" s="45">
        <f t="shared" si="2"/>
        <v>41119</v>
      </c>
      <c r="V39" s="45">
        <f t="shared" si="3"/>
        <v>119107.75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</row>
    <row r="40" spans="1:76">
      <c r="A40" s="39">
        <v>28</v>
      </c>
      <c r="B40" s="51" t="s">
        <v>88</v>
      </c>
      <c r="C40" s="46" t="s">
        <v>89</v>
      </c>
      <c r="D40" s="77" t="s">
        <v>90</v>
      </c>
      <c r="E40" s="89" t="s">
        <v>448</v>
      </c>
      <c r="F40" s="107">
        <v>39335</v>
      </c>
      <c r="G40" s="46" t="s">
        <v>497</v>
      </c>
      <c r="H40" s="65">
        <v>59895</v>
      </c>
      <c r="I40" s="69">
        <v>0</v>
      </c>
      <c r="J40" s="41">
        <v>0</v>
      </c>
      <c r="K40" s="145">
        <v>45899</v>
      </c>
      <c r="L40" s="146">
        <f>378/4</f>
        <v>94.5</v>
      </c>
      <c r="M40" s="45">
        <f t="shared" si="0"/>
        <v>59989.5</v>
      </c>
      <c r="N40" s="45">
        <f>ROUND((M40*0.2943),0)</f>
        <v>17655</v>
      </c>
      <c r="O40" s="43">
        <f>495</f>
        <v>495</v>
      </c>
      <c r="P40" s="45">
        <v>0</v>
      </c>
      <c r="Q40" s="45">
        <f t="shared" si="1"/>
        <v>870</v>
      </c>
      <c r="R40" s="121">
        <f>187</f>
        <v>187</v>
      </c>
      <c r="S40" s="45">
        <v>6921</v>
      </c>
      <c r="T40" s="45">
        <v>404</v>
      </c>
      <c r="U40" s="45">
        <f t="shared" si="2"/>
        <v>26532</v>
      </c>
      <c r="V40" s="45">
        <f t="shared" si="3"/>
        <v>86521.5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</row>
    <row r="41" spans="1:76">
      <c r="A41" s="39">
        <v>29</v>
      </c>
      <c r="B41" s="51" t="s">
        <v>91</v>
      </c>
      <c r="C41" s="46" t="s">
        <v>92</v>
      </c>
      <c r="D41" s="77" t="s">
        <v>93</v>
      </c>
      <c r="E41" s="89"/>
      <c r="F41" s="107"/>
      <c r="G41" s="46" t="s">
        <v>94</v>
      </c>
      <c r="H41" s="65">
        <v>0</v>
      </c>
      <c r="I41" s="69">
        <v>0</v>
      </c>
      <c r="J41" s="41">
        <v>0</v>
      </c>
      <c r="K41" s="145"/>
      <c r="L41" s="146">
        <v>0</v>
      </c>
      <c r="M41" s="45">
        <f t="shared" si="0"/>
        <v>0</v>
      </c>
      <c r="N41" s="45">
        <f>ROUND((M41*0.2943),0)</f>
        <v>0</v>
      </c>
      <c r="O41" s="45">
        <v>0</v>
      </c>
      <c r="P41" s="45">
        <v>0</v>
      </c>
      <c r="Q41" s="45">
        <f t="shared" si="1"/>
        <v>0</v>
      </c>
      <c r="R41" s="45">
        <v>0</v>
      </c>
      <c r="S41" s="45">
        <v>0</v>
      </c>
      <c r="T41" s="45">
        <v>0</v>
      </c>
      <c r="U41" s="45">
        <f t="shared" si="2"/>
        <v>0</v>
      </c>
      <c r="V41" s="45">
        <f t="shared" si="3"/>
        <v>0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</row>
    <row r="42" spans="1:76">
      <c r="A42" s="39">
        <v>30</v>
      </c>
      <c r="B42" s="51" t="s">
        <v>95</v>
      </c>
      <c r="C42" s="46" t="s">
        <v>96</v>
      </c>
      <c r="D42" s="77" t="s">
        <v>93</v>
      </c>
      <c r="E42" s="89"/>
      <c r="F42" s="107"/>
      <c r="G42" s="46" t="s">
        <v>79</v>
      </c>
      <c r="H42" s="65">
        <v>0</v>
      </c>
      <c r="I42" s="69">
        <v>0</v>
      </c>
      <c r="J42" s="41">
        <v>0</v>
      </c>
      <c r="K42" s="145"/>
      <c r="L42" s="146">
        <v>0</v>
      </c>
      <c r="M42" s="45">
        <f t="shared" si="0"/>
        <v>0</v>
      </c>
      <c r="N42" s="45">
        <f t="shared" ref="N42:N54" si="10">ROUND((M42*0.2943),0)</f>
        <v>0</v>
      </c>
      <c r="O42" s="45">
        <v>0</v>
      </c>
      <c r="P42" s="45">
        <v>0</v>
      </c>
      <c r="Q42" s="45">
        <f t="shared" si="1"/>
        <v>0</v>
      </c>
      <c r="R42" s="45">
        <v>0</v>
      </c>
      <c r="S42" s="45">
        <v>0</v>
      </c>
      <c r="T42" s="45">
        <v>0</v>
      </c>
      <c r="U42" s="45">
        <f t="shared" si="2"/>
        <v>0</v>
      </c>
      <c r="V42" s="45">
        <f t="shared" si="3"/>
        <v>0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1:76">
      <c r="A43" s="39">
        <v>31</v>
      </c>
      <c r="B43" s="51" t="s">
        <v>97</v>
      </c>
      <c r="C43" s="46" t="s">
        <v>98</v>
      </c>
      <c r="D43" s="80" t="s">
        <v>479</v>
      </c>
      <c r="E43" s="89" t="s">
        <v>448</v>
      </c>
      <c r="F43" s="107">
        <v>45174</v>
      </c>
      <c r="G43" s="46" t="s">
        <v>69</v>
      </c>
      <c r="H43" s="65">
        <f>34886</f>
        <v>34886</v>
      </c>
      <c r="I43" s="69">
        <v>0</v>
      </c>
      <c r="J43" s="41">
        <v>0</v>
      </c>
      <c r="K43" s="145"/>
      <c r="L43" s="146">
        <v>0</v>
      </c>
      <c r="M43" s="45">
        <f t="shared" si="0"/>
        <v>34886</v>
      </c>
      <c r="N43" s="45">
        <f t="shared" si="10"/>
        <v>10267</v>
      </c>
      <c r="O43" s="43">
        <f>495</f>
        <v>495</v>
      </c>
      <c r="P43" s="45">
        <v>0</v>
      </c>
      <c r="Q43" s="45">
        <f t="shared" si="1"/>
        <v>506</v>
      </c>
      <c r="R43" s="104">
        <f>187</f>
        <v>187</v>
      </c>
      <c r="S43" s="45">
        <v>0</v>
      </c>
      <c r="T43" s="45">
        <v>0</v>
      </c>
      <c r="U43" s="45">
        <f t="shared" si="2"/>
        <v>11455</v>
      </c>
      <c r="V43" s="45">
        <f t="shared" si="3"/>
        <v>46341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</row>
    <row r="44" spans="1:76">
      <c r="A44" s="39">
        <v>32</v>
      </c>
      <c r="B44" s="51" t="s">
        <v>99</v>
      </c>
      <c r="C44" s="46" t="s">
        <v>100</v>
      </c>
      <c r="D44" s="118" t="s">
        <v>492</v>
      </c>
      <c r="E44" s="89" t="s">
        <v>448</v>
      </c>
      <c r="F44" s="107">
        <v>44243</v>
      </c>
      <c r="G44" s="46" t="s">
        <v>79</v>
      </c>
      <c r="H44" s="65">
        <f>32355</f>
        <v>32355</v>
      </c>
      <c r="I44" s="69">
        <v>0</v>
      </c>
      <c r="J44" s="41">
        <v>0</v>
      </c>
      <c r="K44" s="145"/>
      <c r="L44" s="146">
        <v>0</v>
      </c>
      <c r="M44" s="45">
        <f t="shared" si="0"/>
        <v>32355</v>
      </c>
      <c r="N44" s="45">
        <f t="shared" si="10"/>
        <v>9522</v>
      </c>
      <c r="O44" s="43">
        <f>495</f>
        <v>495</v>
      </c>
      <c r="P44" s="45">
        <v>0</v>
      </c>
      <c r="Q44" s="45">
        <f t="shared" si="1"/>
        <v>469</v>
      </c>
      <c r="R44" s="104">
        <f>187</f>
        <v>187</v>
      </c>
      <c r="S44" s="45">
        <v>0</v>
      </c>
      <c r="T44" s="45">
        <v>0</v>
      </c>
      <c r="U44" s="45">
        <f t="shared" si="2"/>
        <v>10673</v>
      </c>
      <c r="V44" s="45">
        <f t="shared" si="3"/>
        <v>43028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</row>
    <row r="45" spans="1:76">
      <c r="A45" s="39">
        <v>33</v>
      </c>
      <c r="B45" s="51" t="s">
        <v>101</v>
      </c>
      <c r="C45" s="46" t="s">
        <v>102</v>
      </c>
      <c r="D45" s="77" t="s">
        <v>438</v>
      </c>
      <c r="E45" s="89" t="s">
        <v>448</v>
      </c>
      <c r="F45" s="110">
        <v>45159</v>
      </c>
      <c r="G45" s="46" t="s">
        <v>79</v>
      </c>
      <c r="H45" s="65">
        <f>32355</f>
        <v>32355</v>
      </c>
      <c r="I45" s="69">
        <v>0</v>
      </c>
      <c r="J45" s="41">
        <v>0</v>
      </c>
      <c r="K45" s="145"/>
      <c r="L45" s="146">
        <v>0</v>
      </c>
      <c r="M45" s="45">
        <f t="shared" si="0"/>
        <v>32355</v>
      </c>
      <c r="N45" s="45">
        <f t="shared" si="10"/>
        <v>9522</v>
      </c>
      <c r="O45" s="43">
        <f>495</f>
        <v>495</v>
      </c>
      <c r="P45" s="45">
        <v>0</v>
      </c>
      <c r="Q45" s="45">
        <f t="shared" si="1"/>
        <v>469</v>
      </c>
      <c r="R45" s="121">
        <f>187</f>
        <v>187</v>
      </c>
      <c r="S45" s="45">
        <v>15868</v>
      </c>
      <c r="T45" s="45">
        <v>486</v>
      </c>
      <c r="U45" s="45">
        <f t="shared" si="2"/>
        <v>27027</v>
      </c>
      <c r="V45" s="45">
        <f t="shared" si="3"/>
        <v>59382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</row>
    <row r="46" spans="1:76">
      <c r="A46" s="39">
        <v>34</v>
      </c>
      <c r="B46" s="51" t="s">
        <v>104</v>
      </c>
      <c r="C46" s="46" t="s">
        <v>96</v>
      </c>
      <c r="D46" s="77" t="s">
        <v>105</v>
      </c>
      <c r="E46" s="89" t="s">
        <v>448</v>
      </c>
      <c r="F46" s="107">
        <v>40105</v>
      </c>
      <c r="G46" s="46" t="s">
        <v>493</v>
      </c>
      <c r="H46" s="65">
        <v>38967</v>
      </c>
      <c r="I46" s="69">
        <v>0</v>
      </c>
      <c r="J46" s="41">
        <v>0</v>
      </c>
      <c r="K46" s="145">
        <v>46009</v>
      </c>
      <c r="L46" s="146">
        <f>1230/4</f>
        <v>307.5</v>
      </c>
      <c r="M46" s="45">
        <f t="shared" si="0"/>
        <v>39274.5</v>
      </c>
      <c r="N46" s="45">
        <f t="shared" si="10"/>
        <v>11558</v>
      </c>
      <c r="O46" s="43">
        <f>495</f>
        <v>495</v>
      </c>
      <c r="P46" s="45">
        <v>0</v>
      </c>
      <c r="Q46" s="45">
        <f t="shared" si="1"/>
        <v>569</v>
      </c>
      <c r="R46" s="121">
        <f>187</f>
        <v>187</v>
      </c>
      <c r="S46" s="45">
        <v>13493</v>
      </c>
      <c r="T46" s="45">
        <v>404</v>
      </c>
      <c r="U46" s="45">
        <f t="shared" si="2"/>
        <v>26706</v>
      </c>
      <c r="V46" s="45">
        <f t="shared" si="3"/>
        <v>65980.5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</row>
    <row r="47" spans="1:76">
      <c r="A47" s="39">
        <v>35</v>
      </c>
      <c r="B47" s="71" t="s">
        <v>106</v>
      </c>
      <c r="C47" s="46" t="s">
        <v>96</v>
      </c>
      <c r="D47" s="77" t="s">
        <v>108</v>
      </c>
      <c r="E47" s="89" t="s">
        <v>448</v>
      </c>
      <c r="F47" s="107">
        <v>44704</v>
      </c>
      <c r="G47" s="46" t="s">
        <v>79</v>
      </c>
      <c r="H47" s="65">
        <f>32355</f>
        <v>32355</v>
      </c>
      <c r="I47" s="69">
        <v>0</v>
      </c>
      <c r="J47" s="41">
        <v>0</v>
      </c>
      <c r="K47" s="145"/>
      <c r="L47" s="146">
        <v>0</v>
      </c>
      <c r="M47" s="45">
        <f t="shared" si="0"/>
        <v>32355</v>
      </c>
      <c r="N47" s="45">
        <f t="shared" si="10"/>
        <v>9522</v>
      </c>
      <c r="O47" s="43">
        <f>495</f>
        <v>495</v>
      </c>
      <c r="P47" s="45">
        <v>0</v>
      </c>
      <c r="Q47" s="45">
        <f t="shared" si="1"/>
        <v>469</v>
      </c>
      <c r="R47" s="121">
        <f>187</f>
        <v>187</v>
      </c>
      <c r="S47" s="45">
        <v>4801</v>
      </c>
      <c r="T47" s="45">
        <v>342</v>
      </c>
      <c r="U47" s="45">
        <f t="shared" si="2"/>
        <v>15816</v>
      </c>
      <c r="V47" s="45">
        <f t="shared" si="3"/>
        <v>48171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</row>
    <row r="48" spans="1:76">
      <c r="A48" s="39">
        <v>36</v>
      </c>
      <c r="B48" s="51" t="s">
        <v>109</v>
      </c>
      <c r="C48" s="46" t="s">
        <v>110</v>
      </c>
      <c r="D48" s="77" t="s">
        <v>111</v>
      </c>
      <c r="E48" s="89" t="s">
        <v>448</v>
      </c>
      <c r="F48" s="107">
        <v>43577</v>
      </c>
      <c r="G48" s="46" t="s">
        <v>494</v>
      </c>
      <c r="H48" s="65">
        <v>36209</v>
      </c>
      <c r="I48" s="69">
        <v>0</v>
      </c>
      <c r="J48" s="41">
        <v>0</v>
      </c>
      <c r="K48" s="145">
        <v>45855</v>
      </c>
      <c r="L48" s="146">
        <f>343/4</f>
        <v>85.75</v>
      </c>
      <c r="M48" s="45">
        <f t="shared" si="0"/>
        <v>36294.75</v>
      </c>
      <c r="N48" s="45">
        <f t="shared" si="10"/>
        <v>10682</v>
      </c>
      <c r="O48" s="43">
        <f>495</f>
        <v>495</v>
      </c>
      <c r="P48" s="45">
        <v>0</v>
      </c>
      <c r="Q48" s="45">
        <f t="shared" si="1"/>
        <v>526</v>
      </c>
      <c r="R48" s="121">
        <f>187</f>
        <v>187</v>
      </c>
      <c r="S48" s="45">
        <v>4801</v>
      </c>
      <c r="T48" s="45">
        <v>0</v>
      </c>
      <c r="U48" s="45">
        <f t="shared" si="2"/>
        <v>16691</v>
      </c>
      <c r="V48" s="45">
        <f t="shared" si="3"/>
        <v>52985.75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</row>
    <row r="49" spans="1:76">
      <c r="A49" s="39">
        <v>37</v>
      </c>
      <c r="B49" s="51" t="s">
        <v>112</v>
      </c>
      <c r="C49" s="46" t="s">
        <v>107</v>
      </c>
      <c r="D49" s="80" t="s">
        <v>481</v>
      </c>
      <c r="E49" s="89" t="s">
        <v>448</v>
      </c>
      <c r="F49" s="107">
        <v>45194</v>
      </c>
      <c r="G49" s="46" t="s">
        <v>79</v>
      </c>
      <c r="H49" s="65">
        <f>32355</f>
        <v>32355</v>
      </c>
      <c r="I49" s="69">
        <v>0</v>
      </c>
      <c r="J49" s="41">
        <v>0</v>
      </c>
      <c r="K49" s="145"/>
      <c r="L49" s="146">
        <v>0</v>
      </c>
      <c r="M49" s="45">
        <f t="shared" si="0"/>
        <v>32355</v>
      </c>
      <c r="N49" s="45">
        <f t="shared" si="10"/>
        <v>9522</v>
      </c>
      <c r="O49" s="43">
        <f>495</f>
        <v>495</v>
      </c>
      <c r="P49" s="45">
        <v>0</v>
      </c>
      <c r="Q49" s="45">
        <f t="shared" si="1"/>
        <v>469</v>
      </c>
      <c r="R49" s="121">
        <f>187</f>
        <v>187</v>
      </c>
      <c r="S49" s="45">
        <v>0</v>
      </c>
      <c r="T49" s="45">
        <v>0</v>
      </c>
      <c r="U49" s="45">
        <f t="shared" si="2"/>
        <v>10673</v>
      </c>
      <c r="V49" s="45">
        <f t="shared" si="3"/>
        <v>43028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</row>
    <row r="50" spans="1:76">
      <c r="A50" s="39">
        <v>38</v>
      </c>
      <c r="B50" s="51" t="s">
        <v>113</v>
      </c>
      <c r="C50" s="46" t="s">
        <v>114</v>
      </c>
      <c r="D50" s="77" t="s">
        <v>115</v>
      </c>
      <c r="E50" s="89" t="s">
        <v>448</v>
      </c>
      <c r="F50" s="107">
        <v>40183</v>
      </c>
      <c r="G50" s="46" t="s">
        <v>116</v>
      </c>
      <c r="H50" s="65">
        <f>48894</f>
        <v>48894</v>
      </c>
      <c r="I50" s="69">
        <v>0</v>
      </c>
      <c r="J50" s="41">
        <v>0</v>
      </c>
      <c r="K50" s="145">
        <v>45770</v>
      </c>
      <c r="L50" s="146">
        <f>776/4</f>
        <v>194</v>
      </c>
      <c r="M50" s="45">
        <f t="shared" si="0"/>
        <v>49088</v>
      </c>
      <c r="N50" s="45">
        <f t="shared" si="10"/>
        <v>14447</v>
      </c>
      <c r="O50" s="43">
        <f>495</f>
        <v>495</v>
      </c>
      <c r="P50" s="45">
        <v>0</v>
      </c>
      <c r="Q50" s="45">
        <f t="shared" si="1"/>
        <v>712</v>
      </c>
      <c r="R50" s="121">
        <f>187</f>
        <v>187</v>
      </c>
      <c r="S50" s="45">
        <v>8310</v>
      </c>
      <c r="T50" s="45">
        <v>486</v>
      </c>
      <c r="U50" s="45">
        <f t="shared" si="2"/>
        <v>24637</v>
      </c>
      <c r="V50" s="45">
        <f t="shared" si="3"/>
        <v>73725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</row>
    <row r="51" spans="1:76">
      <c r="A51" s="39">
        <v>39</v>
      </c>
      <c r="B51" s="51" t="s">
        <v>117</v>
      </c>
      <c r="C51" s="46" t="s">
        <v>482</v>
      </c>
      <c r="D51" s="77" t="s">
        <v>93</v>
      </c>
      <c r="E51" s="89" t="s">
        <v>448</v>
      </c>
      <c r="F51" s="107"/>
      <c r="G51" s="46" t="s">
        <v>69</v>
      </c>
      <c r="H51" s="65">
        <v>0</v>
      </c>
      <c r="I51" s="69">
        <v>0</v>
      </c>
      <c r="J51" s="41">
        <v>0</v>
      </c>
      <c r="K51" s="145"/>
      <c r="L51" s="146">
        <v>0</v>
      </c>
      <c r="M51" s="45">
        <f t="shared" si="0"/>
        <v>0</v>
      </c>
      <c r="N51" s="45">
        <f t="shared" si="10"/>
        <v>0</v>
      </c>
      <c r="O51" s="45">
        <v>0</v>
      </c>
      <c r="P51" s="45">
        <v>0</v>
      </c>
      <c r="Q51" s="45">
        <f t="shared" si="1"/>
        <v>0</v>
      </c>
      <c r="R51" s="45">
        <v>0</v>
      </c>
      <c r="S51" s="45">
        <v>0</v>
      </c>
      <c r="T51" s="45">
        <v>0</v>
      </c>
      <c r="U51" s="45">
        <f t="shared" si="2"/>
        <v>0</v>
      </c>
      <c r="V51" s="45">
        <f t="shared" si="3"/>
        <v>0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</row>
    <row r="52" spans="1:76">
      <c r="A52" s="39">
        <v>40</v>
      </c>
      <c r="B52" s="51" t="s">
        <v>118</v>
      </c>
      <c r="C52" s="46" t="s">
        <v>482</v>
      </c>
      <c r="D52" s="77" t="s">
        <v>93</v>
      </c>
      <c r="E52" s="89"/>
      <c r="F52" s="107"/>
      <c r="G52" s="46"/>
      <c r="H52" s="65">
        <v>0</v>
      </c>
      <c r="I52" s="69">
        <v>0</v>
      </c>
      <c r="J52" s="41">
        <v>0</v>
      </c>
      <c r="K52" s="145"/>
      <c r="L52" s="146">
        <v>0</v>
      </c>
      <c r="M52" s="45">
        <f t="shared" si="0"/>
        <v>0</v>
      </c>
      <c r="N52" s="45">
        <f t="shared" si="10"/>
        <v>0</v>
      </c>
      <c r="O52" s="45">
        <v>0</v>
      </c>
      <c r="P52" s="45">
        <v>0</v>
      </c>
      <c r="Q52" s="45">
        <f t="shared" si="1"/>
        <v>0</v>
      </c>
      <c r="R52" s="45">
        <v>0</v>
      </c>
      <c r="S52" s="45">
        <v>0</v>
      </c>
      <c r="T52" s="45">
        <v>0</v>
      </c>
      <c r="U52" s="45">
        <f t="shared" si="2"/>
        <v>0</v>
      </c>
      <c r="V52" s="45">
        <f t="shared" si="3"/>
        <v>0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</row>
    <row r="53" spans="1:76">
      <c r="A53" s="39">
        <v>41</v>
      </c>
      <c r="B53" s="51" t="s">
        <v>119</v>
      </c>
      <c r="C53" s="46" t="s">
        <v>114</v>
      </c>
      <c r="D53" s="77" t="s">
        <v>93</v>
      </c>
      <c r="E53" s="89"/>
      <c r="F53" s="107"/>
      <c r="G53" s="46"/>
      <c r="H53" s="65">
        <v>0</v>
      </c>
      <c r="I53" s="69">
        <v>0</v>
      </c>
      <c r="J53" s="41">
        <v>0</v>
      </c>
      <c r="K53" s="145"/>
      <c r="L53" s="146">
        <v>0</v>
      </c>
      <c r="M53" s="45">
        <f t="shared" si="0"/>
        <v>0</v>
      </c>
      <c r="N53" s="45">
        <f t="shared" si="10"/>
        <v>0</v>
      </c>
      <c r="O53" s="45">
        <v>0</v>
      </c>
      <c r="P53" s="45">
        <v>0</v>
      </c>
      <c r="Q53" s="45">
        <f t="shared" si="1"/>
        <v>0</v>
      </c>
      <c r="R53" s="45">
        <v>0</v>
      </c>
      <c r="S53" s="45">
        <v>0</v>
      </c>
      <c r="T53" s="45">
        <v>0</v>
      </c>
      <c r="U53" s="45">
        <f t="shared" si="2"/>
        <v>0</v>
      </c>
      <c r="V53" s="45">
        <f t="shared" si="3"/>
        <v>0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1:76">
      <c r="A54" s="39">
        <v>42</v>
      </c>
      <c r="B54" s="51" t="s">
        <v>120</v>
      </c>
      <c r="C54" s="46" t="s">
        <v>102</v>
      </c>
      <c r="D54" s="77" t="s">
        <v>121</v>
      </c>
      <c r="E54" s="89" t="s">
        <v>448</v>
      </c>
      <c r="F54" s="107">
        <v>409946</v>
      </c>
      <c r="G54" s="46" t="s">
        <v>79</v>
      </c>
      <c r="H54" s="65">
        <f>32355</f>
        <v>32355</v>
      </c>
      <c r="I54" s="69">
        <v>0</v>
      </c>
      <c r="J54" s="41">
        <v>0</v>
      </c>
      <c r="K54" s="145"/>
      <c r="L54" s="146">
        <v>0</v>
      </c>
      <c r="M54" s="45">
        <f t="shared" si="0"/>
        <v>32355</v>
      </c>
      <c r="N54" s="45">
        <f t="shared" si="10"/>
        <v>9522</v>
      </c>
      <c r="O54" s="43">
        <f>495</f>
        <v>495</v>
      </c>
      <c r="P54" s="45">
        <v>0</v>
      </c>
      <c r="Q54" s="45">
        <f t="shared" si="1"/>
        <v>469</v>
      </c>
      <c r="R54" s="121">
        <f>187</f>
        <v>187</v>
      </c>
      <c r="S54" s="45">
        <v>4801</v>
      </c>
      <c r="T54" s="45">
        <v>342</v>
      </c>
      <c r="U54" s="45">
        <f t="shared" si="2"/>
        <v>15816</v>
      </c>
      <c r="V54" s="45">
        <f t="shared" si="3"/>
        <v>48171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</row>
    <row r="55" spans="1:76">
      <c r="A55" s="39">
        <v>43</v>
      </c>
      <c r="B55" s="51" t="s">
        <v>358</v>
      </c>
      <c r="C55" s="46" t="s">
        <v>359</v>
      </c>
      <c r="D55" s="77" t="s">
        <v>360</v>
      </c>
      <c r="E55" s="89" t="s">
        <v>451</v>
      </c>
      <c r="F55" s="107">
        <v>34128</v>
      </c>
      <c r="G55" s="46" t="s">
        <v>87</v>
      </c>
      <c r="H55" s="65">
        <v>77783</v>
      </c>
      <c r="I55" s="69">
        <v>0</v>
      </c>
      <c r="J55" s="41">
        <v>0</v>
      </c>
      <c r="K55" s="167">
        <v>46134</v>
      </c>
      <c r="L55" s="146">
        <f>1234/4</f>
        <v>308.5</v>
      </c>
      <c r="M55" s="45">
        <f t="shared" si="0"/>
        <v>78091.5</v>
      </c>
      <c r="N55" s="45">
        <f>ROUND((M55*0.2943),0)</f>
        <v>22982</v>
      </c>
      <c r="O55" s="43">
        <f>495</f>
        <v>495</v>
      </c>
      <c r="P55" s="45">
        <v>0</v>
      </c>
      <c r="Q55" s="45">
        <f t="shared" si="1"/>
        <v>1132</v>
      </c>
      <c r="R55" s="121">
        <f>187</f>
        <v>187</v>
      </c>
      <c r="S55" s="45">
        <v>4801</v>
      </c>
      <c r="T55" s="45">
        <v>342</v>
      </c>
      <c r="U55" s="45">
        <f t="shared" si="2"/>
        <v>29939</v>
      </c>
      <c r="V55" s="45">
        <f t="shared" si="3"/>
        <v>108030.5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</row>
    <row r="56" spans="1:76">
      <c r="A56" s="39">
        <v>44</v>
      </c>
      <c r="B56" s="51" t="s">
        <v>361</v>
      </c>
      <c r="C56" s="46" t="s">
        <v>307</v>
      </c>
      <c r="D56" s="77" t="s">
        <v>93</v>
      </c>
      <c r="E56" s="89"/>
      <c r="F56" s="107"/>
      <c r="G56" s="46" t="s">
        <v>148</v>
      </c>
      <c r="H56" s="65">
        <v>0</v>
      </c>
      <c r="I56" s="69">
        <v>0</v>
      </c>
      <c r="J56" s="41">
        <v>0</v>
      </c>
      <c r="K56" s="167"/>
      <c r="L56" s="146">
        <v>0</v>
      </c>
      <c r="M56" s="45">
        <f t="shared" si="0"/>
        <v>0</v>
      </c>
      <c r="N56" s="45">
        <f t="shared" ref="N56:N60" si="11">ROUND((M56*0.2943),0)</f>
        <v>0</v>
      </c>
      <c r="O56" s="45">
        <v>0</v>
      </c>
      <c r="P56" s="45">
        <v>0</v>
      </c>
      <c r="Q56" s="45">
        <f t="shared" si="1"/>
        <v>0</v>
      </c>
      <c r="R56" s="45">
        <v>0</v>
      </c>
      <c r="S56" s="180">
        <v>0</v>
      </c>
      <c r="T56" s="180">
        <v>0</v>
      </c>
      <c r="U56" s="45">
        <f t="shared" si="2"/>
        <v>0</v>
      </c>
      <c r="V56" s="45">
        <f t="shared" si="3"/>
        <v>0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</row>
    <row r="57" spans="1:76">
      <c r="A57" s="39">
        <v>45</v>
      </c>
      <c r="B57" s="51" t="s">
        <v>362</v>
      </c>
      <c r="C57" s="46" t="s">
        <v>363</v>
      </c>
      <c r="D57" s="77" t="s">
        <v>93</v>
      </c>
      <c r="E57" s="89"/>
      <c r="F57" s="107"/>
      <c r="G57" s="46" t="s">
        <v>125</v>
      </c>
      <c r="H57" s="65">
        <v>0</v>
      </c>
      <c r="I57" s="69">
        <v>0</v>
      </c>
      <c r="J57" s="41">
        <v>0</v>
      </c>
      <c r="K57" s="167"/>
      <c r="L57" s="146">
        <v>0</v>
      </c>
      <c r="M57" s="45">
        <f t="shared" si="0"/>
        <v>0</v>
      </c>
      <c r="N57" s="45">
        <f t="shared" si="11"/>
        <v>0</v>
      </c>
      <c r="O57" s="45">
        <v>0</v>
      </c>
      <c r="P57" s="45">
        <v>0</v>
      </c>
      <c r="Q57" s="45">
        <f t="shared" si="1"/>
        <v>0</v>
      </c>
      <c r="R57" s="45">
        <v>0</v>
      </c>
      <c r="S57" s="180">
        <v>0</v>
      </c>
      <c r="T57" s="180">
        <v>0</v>
      </c>
      <c r="U57" s="45">
        <f t="shared" si="2"/>
        <v>0</v>
      </c>
      <c r="V57" s="45">
        <f t="shared" si="3"/>
        <v>0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</row>
    <row r="58" spans="1:76">
      <c r="A58" s="39">
        <v>46</v>
      </c>
      <c r="B58" s="51" t="s">
        <v>364</v>
      </c>
      <c r="C58" s="46" t="s">
        <v>318</v>
      </c>
      <c r="D58" s="77" t="s">
        <v>93</v>
      </c>
      <c r="E58" s="89"/>
      <c r="F58" s="107"/>
      <c r="G58" s="46" t="s">
        <v>125</v>
      </c>
      <c r="H58" s="65">
        <v>0</v>
      </c>
      <c r="I58" s="69">
        <v>0</v>
      </c>
      <c r="J58" s="41">
        <v>0</v>
      </c>
      <c r="K58" s="167"/>
      <c r="L58" s="146">
        <v>0</v>
      </c>
      <c r="M58" s="45">
        <f t="shared" si="0"/>
        <v>0</v>
      </c>
      <c r="N58" s="45">
        <f t="shared" si="11"/>
        <v>0</v>
      </c>
      <c r="O58" s="45">
        <v>0</v>
      </c>
      <c r="P58" s="45">
        <v>0</v>
      </c>
      <c r="Q58" s="45">
        <f t="shared" si="1"/>
        <v>0</v>
      </c>
      <c r="R58" s="45">
        <v>0</v>
      </c>
      <c r="S58" s="180">
        <v>0</v>
      </c>
      <c r="T58" s="180">
        <v>0</v>
      </c>
      <c r="U58" s="45">
        <f t="shared" si="2"/>
        <v>0</v>
      </c>
      <c r="V58" s="45">
        <f t="shared" si="3"/>
        <v>0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1:76">
      <c r="A59" s="39">
        <v>47</v>
      </c>
      <c r="B59" s="71" t="s">
        <v>365</v>
      </c>
      <c r="C59" s="64" t="s">
        <v>311</v>
      </c>
      <c r="D59" s="77" t="s">
        <v>366</v>
      </c>
      <c r="E59" s="89" t="s">
        <v>451</v>
      </c>
      <c r="F59" s="107">
        <v>40109</v>
      </c>
      <c r="G59" s="64" t="s">
        <v>495</v>
      </c>
      <c r="H59" s="65">
        <v>48894</v>
      </c>
      <c r="I59" s="69">
        <v>0</v>
      </c>
      <c r="J59" s="69">
        <v>0</v>
      </c>
      <c r="K59" s="168">
        <v>46150</v>
      </c>
      <c r="L59" s="144">
        <f>647/4</f>
        <v>161.75</v>
      </c>
      <c r="M59" s="63">
        <f t="shared" si="0"/>
        <v>49055.75</v>
      </c>
      <c r="N59" s="63">
        <f t="shared" si="11"/>
        <v>14437</v>
      </c>
      <c r="O59" s="115">
        <f>495</f>
        <v>495</v>
      </c>
      <c r="P59" s="63">
        <v>0</v>
      </c>
      <c r="Q59" s="63">
        <f t="shared" si="1"/>
        <v>711</v>
      </c>
      <c r="R59" s="119">
        <f>187</f>
        <v>187</v>
      </c>
      <c r="S59" s="181">
        <v>8551</v>
      </c>
      <c r="T59" s="181">
        <v>342</v>
      </c>
      <c r="U59" s="63">
        <f t="shared" si="2"/>
        <v>24723</v>
      </c>
      <c r="V59" s="63">
        <f t="shared" si="3"/>
        <v>73778.75</v>
      </c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</row>
    <row r="60" spans="1:76" ht="21.6" customHeight="1">
      <c r="A60" s="39">
        <v>48</v>
      </c>
      <c r="B60" s="51" t="s">
        <v>367</v>
      </c>
      <c r="C60" s="46" t="s">
        <v>368</v>
      </c>
      <c r="D60" s="77" t="s">
        <v>369</v>
      </c>
      <c r="E60" s="89" t="s">
        <v>459</v>
      </c>
      <c r="F60" s="107">
        <v>44970</v>
      </c>
      <c r="G60" s="46" t="s">
        <v>148</v>
      </c>
      <c r="H60" s="65">
        <f>41372</f>
        <v>41372</v>
      </c>
      <c r="I60" s="69">
        <v>0</v>
      </c>
      <c r="J60" s="41">
        <v>0</v>
      </c>
      <c r="K60" s="167"/>
      <c r="L60" s="146">
        <v>0</v>
      </c>
      <c r="M60" s="45">
        <f t="shared" si="0"/>
        <v>41372</v>
      </c>
      <c r="N60" s="45">
        <f t="shared" si="11"/>
        <v>12176</v>
      </c>
      <c r="O60" s="43">
        <f>495</f>
        <v>495</v>
      </c>
      <c r="P60" s="45">
        <v>0</v>
      </c>
      <c r="Q60" s="45">
        <f t="shared" si="1"/>
        <v>600</v>
      </c>
      <c r="R60" s="121">
        <f>187</f>
        <v>187</v>
      </c>
      <c r="S60" s="181">
        <v>8551</v>
      </c>
      <c r="T60" s="181">
        <v>342</v>
      </c>
      <c r="U60" s="45">
        <f t="shared" si="2"/>
        <v>22351</v>
      </c>
      <c r="V60" s="45">
        <f t="shared" si="3"/>
        <v>63723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</row>
    <row r="61" spans="1:76">
      <c r="A61" s="114">
        <v>49</v>
      </c>
      <c r="B61" s="50" t="s">
        <v>357</v>
      </c>
      <c r="C61" s="76" t="s">
        <v>255</v>
      </c>
      <c r="D61" s="81" t="s">
        <v>256</v>
      </c>
      <c r="E61" s="89" t="s">
        <v>450</v>
      </c>
      <c r="F61" s="126">
        <v>41736</v>
      </c>
      <c r="G61" s="76" t="s">
        <v>496</v>
      </c>
      <c r="H61" s="61">
        <v>55601</v>
      </c>
      <c r="I61" s="69">
        <v>0</v>
      </c>
      <c r="J61" s="69">
        <v>0</v>
      </c>
      <c r="K61" s="168">
        <v>45771</v>
      </c>
      <c r="L61" s="144">
        <f>1054/4</f>
        <v>263.5</v>
      </c>
      <c r="M61" s="63">
        <f t="shared" si="0"/>
        <v>55864.5</v>
      </c>
      <c r="N61" s="63">
        <f>ROUND((M61*0.2943),0)</f>
        <v>16441</v>
      </c>
      <c r="O61" s="115">
        <f>495</f>
        <v>495</v>
      </c>
      <c r="P61" s="63">
        <v>0</v>
      </c>
      <c r="Q61" s="63">
        <f t="shared" si="1"/>
        <v>810</v>
      </c>
      <c r="R61" s="119">
        <f>187</f>
        <v>187</v>
      </c>
      <c r="S61" s="181">
        <v>21918</v>
      </c>
      <c r="T61" s="181">
        <v>653</v>
      </c>
      <c r="U61" s="63">
        <f t="shared" si="2"/>
        <v>40504</v>
      </c>
      <c r="V61" s="63">
        <f t="shared" si="3"/>
        <v>96368.5</v>
      </c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</row>
    <row r="62" spans="1:76">
      <c r="A62" s="39">
        <v>50</v>
      </c>
      <c r="B62" s="51" t="s">
        <v>351</v>
      </c>
      <c r="C62" s="46" t="s">
        <v>352</v>
      </c>
      <c r="D62" s="77" t="s">
        <v>129</v>
      </c>
      <c r="E62" s="89" t="s">
        <v>450</v>
      </c>
      <c r="F62" s="107"/>
      <c r="G62" s="46" t="s">
        <v>79</v>
      </c>
      <c r="H62" s="65">
        <f>32355</f>
        <v>32355</v>
      </c>
      <c r="I62" s="69">
        <v>0</v>
      </c>
      <c r="J62" s="41">
        <v>0</v>
      </c>
      <c r="K62" s="167"/>
      <c r="L62" s="146">
        <v>0</v>
      </c>
      <c r="M62" s="45">
        <f t="shared" si="0"/>
        <v>32355</v>
      </c>
      <c r="N62" s="45">
        <f t="shared" ref="N62:N65" si="12">ROUND((M62*0.2943),0)</f>
        <v>9522</v>
      </c>
      <c r="O62" s="43">
        <f>495</f>
        <v>495</v>
      </c>
      <c r="P62" s="45">
        <v>0</v>
      </c>
      <c r="Q62" s="45">
        <f t="shared" si="1"/>
        <v>469</v>
      </c>
      <c r="R62" s="121">
        <f>187</f>
        <v>187</v>
      </c>
      <c r="S62" s="180">
        <v>8310</v>
      </c>
      <c r="T62" s="180">
        <v>342</v>
      </c>
      <c r="U62" s="45">
        <f t="shared" si="2"/>
        <v>19325</v>
      </c>
      <c r="V62" s="45">
        <f t="shared" si="3"/>
        <v>51680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</row>
    <row r="63" spans="1:76">
      <c r="A63" s="39">
        <v>51</v>
      </c>
      <c r="B63" s="51" t="s">
        <v>353</v>
      </c>
      <c r="C63" s="46" t="s">
        <v>352</v>
      </c>
      <c r="D63" s="80" t="s">
        <v>439</v>
      </c>
      <c r="E63" s="89" t="s">
        <v>450</v>
      </c>
      <c r="F63" s="107">
        <v>45159</v>
      </c>
      <c r="G63" s="46" t="s">
        <v>79</v>
      </c>
      <c r="H63" s="65">
        <f>32355</f>
        <v>32355</v>
      </c>
      <c r="I63" s="69">
        <v>0</v>
      </c>
      <c r="J63" s="41">
        <v>0</v>
      </c>
      <c r="K63" s="167"/>
      <c r="L63" s="146">
        <v>0</v>
      </c>
      <c r="M63" s="45">
        <f t="shared" si="0"/>
        <v>32355</v>
      </c>
      <c r="N63" s="45">
        <f t="shared" si="12"/>
        <v>9522</v>
      </c>
      <c r="O63" s="43">
        <f>495</f>
        <v>495</v>
      </c>
      <c r="P63" s="45">
        <v>0</v>
      </c>
      <c r="Q63" s="45">
        <f t="shared" si="1"/>
        <v>469</v>
      </c>
      <c r="R63" s="121">
        <f>187</f>
        <v>187</v>
      </c>
      <c r="S63" s="180">
        <v>0</v>
      </c>
      <c r="T63" s="180">
        <v>0</v>
      </c>
      <c r="U63" s="45">
        <f t="shared" si="2"/>
        <v>10673</v>
      </c>
      <c r="V63" s="45">
        <f t="shared" si="3"/>
        <v>43028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</row>
    <row r="64" spans="1:76">
      <c r="A64" s="39">
        <v>52</v>
      </c>
      <c r="B64" s="51" t="s">
        <v>354</v>
      </c>
      <c r="C64" s="46" t="s">
        <v>352</v>
      </c>
      <c r="D64" s="80" t="s">
        <v>441</v>
      </c>
      <c r="E64" s="89" t="s">
        <v>450</v>
      </c>
      <c r="F64" s="110">
        <v>45180</v>
      </c>
      <c r="G64" s="46" t="s">
        <v>79</v>
      </c>
      <c r="H64" s="65">
        <f>32355</f>
        <v>32355</v>
      </c>
      <c r="I64" s="69">
        <v>0</v>
      </c>
      <c r="J64" s="41">
        <v>0</v>
      </c>
      <c r="K64" s="167"/>
      <c r="L64" s="146">
        <v>0</v>
      </c>
      <c r="M64" s="45">
        <f t="shared" si="0"/>
        <v>32355</v>
      </c>
      <c r="N64" s="45">
        <f t="shared" si="12"/>
        <v>9522</v>
      </c>
      <c r="O64" s="43">
        <f>495</f>
        <v>495</v>
      </c>
      <c r="P64" s="45">
        <v>0</v>
      </c>
      <c r="Q64" s="45">
        <f t="shared" si="1"/>
        <v>469</v>
      </c>
      <c r="R64" s="121">
        <f>187</f>
        <v>187</v>
      </c>
      <c r="S64" s="180">
        <v>0</v>
      </c>
      <c r="T64" s="180">
        <v>0</v>
      </c>
      <c r="U64" s="45">
        <f t="shared" si="2"/>
        <v>10673</v>
      </c>
      <c r="V64" s="45">
        <f t="shared" si="3"/>
        <v>43028</v>
      </c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</row>
    <row r="65" spans="1:76">
      <c r="A65" s="39">
        <v>53</v>
      </c>
      <c r="B65" s="51" t="s">
        <v>355</v>
      </c>
      <c r="C65" s="83" t="s">
        <v>489</v>
      </c>
      <c r="D65" s="77" t="s">
        <v>129</v>
      </c>
      <c r="E65" s="89" t="s">
        <v>450</v>
      </c>
      <c r="F65" s="107"/>
      <c r="G65" s="46" t="s">
        <v>127</v>
      </c>
      <c r="H65" s="65">
        <f>45262</f>
        <v>45262</v>
      </c>
      <c r="I65" s="69">
        <v>0</v>
      </c>
      <c r="J65" s="41">
        <v>0</v>
      </c>
      <c r="K65" s="167"/>
      <c r="L65" s="146">
        <v>0</v>
      </c>
      <c r="M65" s="45">
        <f t="shared" si="0"/>
        <v>45262</v>
      </c>
      <c r="N65" s="45">
        <f t="shared" si="12"/>
        <v>13321</v>
      </c>
      <c r="O65" s="43">
        <f>495</f>
        <v>495</v>
      </c>
      <c r="P65" s="45">
        <v>0</v>
      </c>
      <c r="Q65" s="45">
        <f t="shared" si="1"/>
        <v>656</v>
      </c>
      <c r="R65" s="121">
        <f>187</f>
        <v>187</v>
      </c>
      <c r="S65" s="180">
        <v>8310</v>
      </c>
      <c r="T65" s="180">
        <v>342</v>
      </c>
      <c r="U65" s="45">
        <f t="shared" si="2"/>
        <v>23311</v>
      </c>
      <c r="V65" s="45">
        <f t="shared" si="3"/>
        <v>68573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</row>
    <row r="66" spans="1:76">
      <c r="A66" s="39">
        <v>54</v>
      </c>
      <c r="B66" s="51" t="s">
        <v>344</v>
      </c>
      <c r="C66" s="46" t="s">
        <v>345</v>
      </c>
      <c r="D66" s="77" t="s">
        <v>346</v>
      </c>
      <c r="E66" s="89"/>
      <c r="F66" s="107"/>
      <c r="G66" s="46" t="s">
        <v>72</v>
      </c>
      <c r="H66" s="65">
        <v>0</v>
      </c>
      <c r="I66" s="69">
        <v>0</v>
      </c>
      <c r="J66" s="41">
        <v>0</v>
      </c>
      <c r="K66" s="167"/>
      <c r="L66" s="146">
        <v>0</v>
      </c>
      <c r="M66" s="45">
        <f t="shared" si="0"/>
        <v>0</v>
      </c>
      <c r="N66" s="45">
        <f>ROUND((M66*0.2943),0)</f>
        <v>0</v>
      </c>
      <c r="O66" s="45">
        <v>0</v>
      </c>
      <c r="P66" s="45">
        <v>0</v>
      </c>
      <c r="Q66" s="45">
        <f t="shared" si="1"/>
        <v>0</v>
      </c>
      <c r="R66" s="45">
        <v>0</v>
      </c>
      <c r="S66" s="180">
        <v>0</v>
      </c>
      <c r="T66" s="180">
        <v>0</v>
      </c>
      <c r="U66" s="45">
        <f t="shared" si="2"/>
        <v>0</v>
      </c>
      <c r="V66" s="45">
        <f t="shared" si="3"/>
        <v>0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1:76">
      <c r="A67" s="39">
        <v>55</v>
      </c>
      <c r="B67" s="51" t="s">
        <v>347</v>
      </c>
      <c r="C67" s="46" t="s">
        <v>272</v>
      </c>
      <c r="D67" s="77" t="s">
        <v>93</v>
      </c>
      <c r="E67" s="89"/>
      <c r="F67" s="107"/>
      <c r="G67" s="46" t="s">
        <v>312</v>
      </c>
      <c r="H67" s="65">
        <v>0</v>
      </c>
      <c r="I67" s="69">
        <v>0</v>
      </c>
      <c r="J67" s="41">
        <v>0</v>
      </c>
      <c r="K67" s="167"/>
      <c r="L67" s="146">
        <v>0</v>
      </c>
      <c r="M67" s="45">
        <f t="shared" si="0"/>
        <v>0</v>
      </c>
      <c r="N67" s="45">
        <f t="shared" ref="N67:N69" si="13">ROUND((M67*0.2943),0)</f>
        <v>0</v>
      </c>
      <c r="O67" s="45">
        <v>0</v>
      </c>
      <c r="P67" s="45">
        <v>0</v>
      </c>
      <c r="Q67" s="45">
        <f t="shared" si="1"/>
        <v>0</v>
      </c>
      <c r="R67" s="45">
        <v>0</v>
      </c>
      <c r="S67" s="180">
        <v>0</v>
      </c>
      <c r="T67" s="180">
        <v>0</v>
      </c>
      <c r="U67" s="45">
        <f t="shared" si="2"/>
        <v>0</v>
      </c>
      <c r="V67" s="45">
        <f t="shared" si="3"/>
        <v>0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1:76">
      <c r="A68" s="39">
        <v>56</v>
      </c>
      <c r="B68" s="51" t="s">
        <v>348</v>
      </c>
      <c r="C68" s="46" t="s">
        <v>102</v>
      </c>
      <c r="D68" s="77" t="s">
        <v>349</v>
      </c>
      <c r="E68" s="89"/>
      <c r="F68" s="107"/>
      <c r="G68" s="46" t="s">
        <v>125</v>
      </c>
      <c r="H68" s="65">
        <v>0</v>
      </c>
      <c r="I68" s="69">
        <v>0</v>
      </c>
      <c r="J68" s="41">
        <v>0</v>
      </c>
      <c r="K68" s="167"/>
      <c r="L68" s="146">
        <v>0</v>
      </c>
      <c r="M68" s="45">
        <f t="shared" si="0"/>
        <v>0</v>
      </c>
      <c r="N68" s="45">
        <f t="shared" si="13"/>
        <v>0</v>
      </c>
      <c r="O68" s="45">
        <v>0</v>
      </c>
      <c r="P68" s="45">
        <v>0</v>
      </c>
      <c r="Q68" s="45">
        <f t="shared" si="1"/>
        <v>0</v>
      </c>
      <c r="R68" s="45">
        <v>0</v>
      </c>
      <c r="S68" s="180">
        <v>0</v>
      </c>
      <c r="T68" s="180">
        <v>0</v>
      </c>
      <c r="U68" s="45">
        <f t="shared" si="2"/>
        <v>0</v>
      </c>
      <c r="V68" s="45">
        <f t="shared" si="3"/>
        <v>0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>
      <c r="A69" s="39">
        <v>57</v>
      </c>
      <c r="B69" s="51" t="s">
        <v>350</v>
      </c>
      <c r="C69" s="46" t="s">
        <v>102</v>
      </c>
      <c r="D69" s="77" t="s">
        <v>93</v>
      </c>
      <c r="E69" s="89"/>
      <c r="F69" s="107"/>
      <c r="G69" s="46" t="s">
        <v>125</v>
      </c>
      <c r="H69" s="65">
        <v>0</v>
      </c>
      <c r="I69" s="69">
        <v>0</v>
      </c>
      <c r="J69" s="41">
        <v>0</v>
      </c>
      <c r="K69" s="167"/>
      <c r="L69" s="146">
        <v>0</v>
      </c>
      <c r="M69" s="45">
        <f t="shared" si="0"/>
        <v>0</v>
      </c>
      <c r="N69" s="45">
        <f t="shared" si="13"/>
        <v>0</v>
      </c>
      <c r="O69" s="45">
        <v>0</v>
      </c>
      <c r="P69" s="45">
        <v>0</v>
      </c>
      <c r="Q69" s="45">
        <f t="shared" si="1"/>
        <v>0</v>
      </c>
      <c r="R69" s="45">
        <v>0</v>
      </c>
      <c r="S69" s="180">
        <v>0</v>
      </c>
      <c r="T69" s="180">
        <v>0</v>
      </c>
      <c r="U69" s="45">
        <f t="shared" si="2"/>
        <v>0</v>
      </c>
      <c r="V69" s="45">
        <f t="shared" si="3"/>
        <v>0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>
      <c r="A70" s="39">
        <v>58</v>
      </c>
      <c r="B70" s="71" t="s">
        <v>306</v>
      </c>
      <c r="C70" s="64" t="s">
        <v>307</v>
      </c>
      <c r="D70" s="81" t="s">
        <v>308</v>
      </c>
      <c r="E70" s="89" t="s">
        <v>450</v>
      </c>
      <c r="F70" s="107">
        <v>38937</v>
      </c>
      <c r="G70" s="64" t="s">
        <v>514</v>
      </c>
      <c r="H70" s="60">
        <v>62374</v>
      </c>
      <c r="I70" s="69">
        <v>0</v>
      </c>
      <c r="J70" s="41">
        <v>0</v>
      </c>
      <c r="K70" s="161">
        <v>46150</v>
      </c>
      <c r="L70" s="41">
        <f>825/4</f>
        <v>206.25</v>
      </c>
      <c r="M70" s="42">
        <f t="shared" si="0"/>
        <v>62580.25</v>
      </c>
      <c r="N70" s="42">
        <f>ROUND((M70*0.2943),0)</f>
        <v>18417</v>
      </c>
      <c r="O70" s="43">
        <f>495</f>
        <v>495</v>
      </c>
      <c r="P70" s="42">
        <v>0</v>
      </c>
      <c r="Q70" s="42">
        <f t="shared" si="1"/>
        <v>907</v>
      </c>
      <c r="R70" s="121">
        <f>187</f>
        <v>187</v>
      </c>
      <c r="S70" s="182">
        <v>15868</v>
      </c>
      <c r="T70" s="182">
        <v>486</v>
      </c>
      <c r="U70" s="42">
        <f t="shared" si="2"/>
        <v>36360</v>
      </c>
      <c r="V70" s="42">
        <f t="shared" si="3"/>
        <v>98940.25</v>
      </c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</row>
    <row r="71" spans="1:76">
      <c r="A71" s="39">
        <v>59</v>
      </c>
      <c r="B71" s="71" t="s">
        <v>309</v>
      </c>
      <c r="C71" s="64" t="s">
        <v>307</v>
      </c>
      <c r="D71" s="81" t="s">
        <v>331</v>
      </c>
      <c r="E71" s="89" t="s">
        <v>450</v>
      </c>
      <c r="F71" s="107">
        <v>40945</v>
      </c>
      <c r="G71" s="64" t="s">
        <v>515</v>
      </c>
      <c r="H71" s="61">
        <v>49827</v>
      </c>
      <c r="I71" s="69">
        <v>0</v>
      </c>
      <c r="J71" s="41">
        <v>0</v>
      </c>
      <c r="K71" s="162">
        <v>45913</v>
      </c>
      <c r="L71" s="163">
        <f>157/4</f>
        <v>39.25</v>
      </c>
      <c r="M71" s="45">
        <f t="shared" si="0"/>
        <v>49866.25</v>
      </c>
      <c r="N71" s="45">
        <f t="shared" ref="N71:N72" si="14">ROUND((M71*0.2943),0)</f>
        <v>14676</v>
      </c>
      <c r="O71" s="43">
        <f>495</f>
        <v>495</v>
      </c>
      <c r="P71" s="45">
        <v>0</v>
      </c>
      <c r="Q71" s="45">
        <f t="shared" si="1"/>
        <v>723</v>
      </c>
      <c r="R71" s="121">
        <f>187</f>
        <v>187</v>
      </c>
      <c r="S71" s="45">
        <v>21918</v>
      </c>
      <c r="T71" s="63">
        <v>653</v>
      </c>
      <c r="U71" s="45">
        <f t="shared" si="2"/>
        <v>38652</v>
      </c>
      <c r="V71" s="45">
        <f t="shared" si="3"/>
        <v>88518.25</v>
      </c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</row>
    <row r="72" spans="1:76">
      <c r="A72" s="39">
        <v>60</v>
      </c>
      <c r="B72" s="71" t="s">
        <v>310</v>
      </c>
      <c r="C72" s="64" t="s">
        <v>311</v>
      </c>
      <c r="D72" s="81" t="s">
        <v>333</v>
      </c>
      <c r="E72" s="89" t="s">
        <v>450</v>
      </c>
      <c r="F72" s="107">
        <v>41029</v>
      </c>
      <c r="G72" s="64" t="s">
        <v>500</v>
      </c>
      <c r="H72" s="61">
        <v>39349</v>
      </c>
      <c r="I72" s="69">
        <v>0</v>
      </c>
      <c r="J72" s="41">
        <v>0</v>
      </c>
      <c r="K72" s="162">
        <v>45785</v>
      </c>
      <c r="L72" s="163">
        <f>622/4</f>
        <v>155.5</v>
      </c>
      <c r="M72" s="45">
        <f t="shared" si="0"/>
        <v>39504.5</v>
      </c>
      <c r="N72" s="45">
        <f t="shared" si="14"/>
        <v>11626</v>
      </c>
      <c r="O72" s="43">
        <f>495</f>
        <v>495</v>
      </c>
      <c r="P72" s="45">
        <v>0</v>
      </c>
      <c r="Q72" s="45">
        <f t="shared" si="1"/>
        <v>573</v>
      </c>
      <c r="R72" s="121">
        <f>187</f>
        <v>187</v>
      </c>
      <c r="S72" s="45">
        <v>8551</v>
      </c>
      <c r="T72" s="63">
        <v>653</v>
      </c>
      <c r="U72" s="45">
        <f t="shared" si="2"/>
        <v>22085</v>
      </c>
      <c r="V72" s="45">
        <f t="shared" si="3"/>
        <v>61589.5</v>
      </c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</row>
    <row r="73" spans="1:76">
      <c r="A73" s="39">
        <v>61</v>
      </c>
      <c r="B73" s="72" t="s">
        <v>313</v>
      </c>
      <c r="C73" s="59" t="s">
        <v>314</v>
      </c>
      <c r="D73" s="66" t="s">
        <v>462</v>
      </c>
      <c r="E73" s="89" t="s">
        <v>450</v>
      </c>
      <c r="F73" s="107">
        <v>43111</v>
      </c>
      <c r="G73" s="64" t="s">
        <v>520</v>
      </c>
      <c r="H73" s="60">
        <v>55601</v>
      </c>
      <c r="I73" s="69">
        <v>0</v>
      </c>
      <c r="J73" s="41">
        <v>0</v>
      </c>
      <c r="K73" s="162">
        <v>45702</v>
      </c>
      <c r="L73" s="163">
        <f>1405/4</f>
        <v>351.25</v>
      </c>
      <c r="M73" s="45">
        <f t="shared" si="0"/>
        <v>55952.25</v>
      </c>
      <c r="N73" s="45">
        <f t="shared" ref="N73:N82" si="15">ROUND((M73*0.2943),0)</f>
        <v>16467</v>
      </c>
      <c r="O73" s="43">
        <f>495</f>
        <v>495</v>
      </c>
      <c r="P73" s="45">
        <v>0</v>
      </c>
      <c r="Q73" s="45">
        <f t="shared" si="1"/>
        <v>811</v>
      </c>
      <c r="R73" s="121">
        <f>187</f>
        <v>187</v>
      </c>
      <c r="S73" s="63">
        <v>13493</v>
      </c>
      <c r="T73" s="63">
        <v>342</v>
      </c>
      <c r="U73" s="45">
        <f t="shared" si="2"/>
        <v>31795</v>
      </c>
      <c r="V73" s="45">
        <f t="shared" si="3"/>
        <v>87747.25</v>
      </c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</row>
    <row r="74" spans="1:76">
      <c r="A74" s="39">
        <v>62</v>
      </c>
      <c r="B74" s="50" t="s">
        <v>315</v>
      </c>
      <c r="C74" s="64" t="s">
        <v>311</v>
      </c>
      <c r="D74" s="81" t="s">
        <v>316</v>
      </c>
      <c r="E74" s="89" t="s">
        <v>450</v>
      </c>
      <c r="F74" s="107">
        <v>39512</v>
      </c>
      <c r="G74" s="64" t="s">
        <v>495</v>
      </c>
      <c r="H74" s="61">
        <v>48894</v>
      </c>
      <c r="I74" s="69">
        <v>0</v>
      </c>
      <c r="J74" s="41">
        <v>0</v>
      </c>
      <c r="K74" s="145">
        <v>45913</v>
      </c>
      <c r="L74" s="146">
        <f>129/4</f>
        <v>32.25</v>
      </c>
      <c r="M74" s="45">
        <f t="shared" si="0"/>
        <v>48926.25</v>
      </c>
      <c r="N74" s="45">
        <f t="shared" si="15"/>
        <v>14399</v>
      </c>
      <c r="O74" s="43">
        <f>495</f>
        <v>495</v>
      </c>
      <c r="P74" s="45">
        <v>0</v>
      </c>
      <c r="Q74" s="45">
        <f t="shared" si="1"/>
        <v>709</v>
      </c>
      <c r="R74" s="121">
        <f>187</f>
        <v>187</v>
      </c>
      <c r="S74" s="63">
        <v>13493</v>
      </c>
      <c r="T74" s="63">
        <v>404</v>
      </c>
      <c r="U74" s="45">
        <f t="shared" si="2"/>
        <v>29687</v>
      </c>
      <c r="V74" s="45">
        <f t="shared" si="3"/>
        <v>78613.25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</row>
    <row r="75" spans="1:76" s="201" customFormat="1">
      <c r="A75" s="187">
        <v>63</v>
      </c>
      <c r="B75" s="206" t="s">
        <v>317</v>
      </c>
      <c r="C75" s="207" t="s">
        <v>318</v>
      </c>
      <c r="D75" s="190" t="s">
        <v>129</v>
      </c>
      <c r="E75" s="204" t="s">
        <v>450</v>
      </c>
      <c r="F75" s="205"/>
      <c r="G75" s="188" t="s">
        <v>125</v>
      </c>
      <c r="H75" s="208">
        <v>32355</v>
      </c>
      <c r="I75" s="195">
        <v>0</v>
      </c>
      <c r="J75" s="195">
        <v>0</v>
      </c>
      <c r="K75" s="196"/>
      <c r="L75" s="197">
        <v>0</v>
      </c>
      <c r="M75" s="198">
        <f t="shared" si="0"/>
        <v>32355</v>
      </c>
      <c r="N75" s="198">
        <f t="shared" si="15"/>
        <v>9522</v>
      </c>
      <c r="O75" s="199">
        <f>495</f>
        <v>495</v>
      </c>
      <c r="P75" s="198">
        <v>0</v>
      </c>
      <c r="Q75" s="198">
        <f t="shared" si="1"/>
        <v>469</v>
      </c>
      <c r="R75" s="119">
        <f>187</f>
        <v>187</v>
      </c>
      <c r="S75" s="198">
        <v>8310</v>
      </c>
      <c r="T75" s="198">
        <v>486</v>
      </c>
      <c r="U75" s="198">
        <f t="shared" si="2"/>
        <v>19469</v>
      </c>
      <c r="V75" s="198">
        <f t="shared" si="3"/>
        <v>51824</v>
      </c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</row>
    <row r="76" spans="1:76">
      <c r="A76" s="39">
        <v>64</v>
      </c>
      <c r="B76" s="71" t="s">
        <v>320</v>
      </c>
      <c r="C76" s="64" t="s">
        <v>321</v>
      </c>
      <c r="D76" s="66" t="s">
        <v>330</v>
      </c>
      <c r="E76" s="89" t="s">
        <v>450</v>
      </c>
      <c r="F76" s="107">
        <v>36956</v>
      </c>
      <c r="G76" s="64" t="s">
        <v>516</v>
      </c>
      <c r="H76" s="60">
        <v>66142</v>
      </c>
      <c r="I76" s="69">
        <v>0</v>
      </c>
      <c r="J76" s="41">
        <v>0</v>
      </c>
      <c r="K76" s="145">
        <v>45843</v>
      </c>
      <c r="L76" s="146">
        <f>627/4</f>
        <v>156.75</v>
      </c>
      <c r="M76" s="45">
        <f t="shared" si="0"/>
        <v>66298.75</v>
      </c>
      <c r="N76" s="45">
        <f t="shared" si="15"/>
        <v>19512</v>
      </c>
      <c r="O76" s="43">
        <f>495</f>
        <v>495</v>
      </c>
      <c r="P76" s="45">
        <v>0</v>
      </c>
      <c r="Q76" s="45">
        <f t="shared" si="1"/>
        <v>961</v>
      </c>
      <c r="R76" s="121">
        <f>187</f>
        <v>187</v>
      </c>
      <c r="S76" s="63">
        <v>8310</v>
      </c>
      <c r="T76" s="63">
        <v>0</v>
      </c>
      <c r="U76" s="45">
        <f t="shared" si="2"/>
        <v>29465</v>
      </c>
      <c r="V76" s="45">
        <f t="shared" si="3"/>
        <v>95763.75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</row>
    <row r="77" spans="1:76">
      <c r="A77" s="39">
        <v>65</v>
      </c>
      <c r="B77" s="71" t="s">
        <v>322</v>
      </c>
      <c r="C77" s="64" t="s">
        <v>521</v>
      </c>
      <c r="D77" s="66" t="s">
        <v>323</v>
      </c>
      <c r="E77" s="89" t="s">
        <v>450</v>
      </c>
      <c r="F77" s="107">
        <v>45134</v>
      </c>
      <c r="G77" s="64" t="s">
        <v>125</v>
      </c>
      <c r="H77" s="61">
        <v>32355</v>
      </c>
      <c r="I77" s="69">
        <v>0</v>
      </c>
      <c r="J77" s="41">
        <v>0</v>
      </c>
      <c r="K77" s="145"/>
      <c r="L77" s="146">
        <v>0</v>
      </c>
      <c r="M77" s="45">
        <f t="shared" si="0"/>
        <v>32355</v>
      </c>
      <c r="N77" s="45">
        <f t="shared" si="15"/>
        <v>9522</v>
      </c>
      <c r="O77" s="43">
        <f>495</f>
        <v>495</v>
      </c>
      <c r="P77" s="45">
        <v>0</v>
      </c>
      <c r="Q77" s="45">
        <f t="shared" si="1"/>
        <v>469</v>
      </c>
      <c r="R77" s="121">
        <f>187</f>
        <v>187</v>
      </c>
      <c r="S77" s="63">
        <v>4801</v>
      </c>
      <c r="T77" s="63">
        <v>342</v>
      </c>
      <c r="U77" s="45">
        <f t="shared" si="2"/>
        <v>15816</v>
      </c>
      <c r="V77" s="45">
        <f t="shared" si="3"/>
        <v>48171</v>
      </c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</row>
    <row r="78" spans="1:76" s="201" customFormat="1">
      <c r="A78" s="187">
        <v>66</v>
      </c>
      <c r="B78" s="203" t="s">
        <v>324</v>
      </c>
      <c r="C78" s="188" t="s">
        <v>352</v>
      </c>
      <c r="D78" s="190" t="s">
        <v>466</v>
      </c>
      <c r="E78" s="204" t="s">
        <v>450</v>
      </c>
      <c r="F78" s="205">
        <v>45159</v>
      </c>
      <c r="G78" s="188" t="s">
        <v>125</v>
      </c>
      <c r="H78" s="194">
        <v>32355</v>
      </c>
      <c r="I78" s="195">
        <v>0</v>
      </c>
      <c r="J78" s="195">
        <v>0</v>
      </c>
      <c r="K78" s="196"/>
      <c r="L78" s="197">
        <v>0</v>
      </c>
      <c r="M78" s="198">
        <f t="shared" si="0"/>
        <v>32355</v>
      </c>
      <c r="N78" s="198">
        <f t="shared" si="15"/>
        <v>9522</v>
      </c>
      <c r="O78" s="199">
        <f>495</f>
        <v>495</v>
      </c>
      <c r="P78" s="198">
        <v>0</v>
      </c>
      <c r="Q78" s="198">
        <f t="shared" si="1"/>
        <v>469</v>
      </c>
      <c r="R78" s="119">
        <f>187</f>
        <v>187</v>
      </c>
      <c r="S78" s="198">
        <f>9596</f>
        <v>9596</v>
      </c>
      <c r="T78" s="198">
        <f>329</f>
        <v>329</v>
      </c>
      <c r="U78" s="198">
        <f t="shared" si="2"/>
        <v>20598</v>
      </c>
      <c r="V78" s="198">
        <f t="shared" si="3"/>
        <v>52953</v>
      </c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</row>
    <row r="79" spans="1:76">
      <c r="A79" s="39">
        <v>67</v>
      </c>
      <c r="B79" s="71" t="s">
        <v>326</v>
      </c>
      <c r="C79" s="64" t="s">
        <v>311</v>
      </c>
      <c r="D79" s="66" t="s">
        <v>93</v>
      </c>
      <c r="E79" s="89"/>
      <c r="F79" s="107"/>
      <c r="G79" s="64" t="s">
        <v>312</v>
      </c>
      <c r="H79" s="61">
        <v>0</v>
      </c>
      <c r="I79" s="69">
        <v>0</v>
      </c>
      <c r="J79" s="41">
        <v>0</v>
      </c>
      <c r="K79" s="145"/>
      <c r="L79" s="146">
        <v>0</v>
      </c>
      <c r="M79" s="45">
        <f t="shared" si="0"/>
        <v>0</v>
      </c>
      <c r="N79" s="45">
        <f t="shared" si="15"/>
        <v>0</v>
      </c>
      <c r="O79" s="45">
        <v>0</v>
      </c>
      <c r="P79" s="45">
        <v>0</v>
      </c>
      <c r="Q79" s="45">
        <f t="shared" si="1"/>
        <v>0</v>
      </c>
      <c r="R79" s="45">
        <v>0</v>
      </c>
      <c r="S79" s="45">
        <v>0</v>
      </c>
      <c r="T79" s="45">
        <v>0</v>
      </c>
      <c r="U79" s="45">
        <f t="shared" si="2"/>
        <v>0</v>
      </c>
      <c r="V79" s="45">
        <f t="shared" si="3"/>
        <v>0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</row>
    <row r="80" spans="1:76">
      <c r="A80" s="39">
        <v>68</v>
      </c>
      <c r="B80" s="71" t="s">
        <v>327</v>
      </c>
      <c r="C80" s="59" t="s">
        <v>311</v>
      </c>
      <c r="D80" s="66" t="s">
        <v>319</v>
      </c>
      <c r="E80" s="127" t="s">
        <v>450</v>
      </c>
      <c r="F80" s="107">
        <v>44101</v>
      </c>
      <c r="G80" s="64" t="s">
        <v>312</v>
      </c>
      <c r="H80" s="61">
        <f>37913</f>
        <v>37913</v>
      </c>
      <c r="I80" s="69">
        <v>0</v>
      </c>
      <c r="J80" s="41">
        <v>0</v>
      </c>
      <c r="K80" s="145">
        <v>45951</v>
      </c>
      <c r="L80" s="146">
        <f>1436/4</f>
        <v>359</v>
      </c>
      <c r="M80" s="45">
        <f t="shared" si="0"/>
        <v>38272</v>
      </c>
      <c r="N80" s="45">
        <f t="shared" si="15"/>
        <v>11263</v>
      </c>
      <c r="O80" s="45">
        <v>0</v>
      </c>
      <c r="P80" s="45">
        <v>0</v>
      </c>
      <c r="Q80" s="45">
        <f t="shared" si="1"/>
        <v>555</v>
      </c>
      <c r="R80" s="121">
        <f>187</f>
        <v>187</v>
      </c>
      <c r="S80" s="45">
        <v>8551</v>
      </c>
      <c r="T80" s="45">
        <v>342</v>
      </c>
      <c r="U80" s="45">
        <f t="shared" si="2"/>
        <v>20898</v>
      </c>
      <c r="V80" s="45">
        <f t="shared" si="3"/>
        <v>59170</v>
      </c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</row>
    <row r="81" spans="1:76">
      <c r="A81" s="39">
        <v>69</v>
      </c>
      <c r="B81" s="71" t="s">
        <v>328</v>
      </c>
      <c r="C81" s="59" t="s">
        <v>311</v>
      </c>
      <c r="D81" s="128" t="s">
        <v>261</v>
      </c>
      <c r="E81" s="127"/>
      <c r="F81" s="107"/>
      <c r="G81" s="59" t="s">
        <v>312</v>
      </c>
      <c r="H81" s="61">
        <v>0</v>
      </c>
      <c r="I81" s="69">
        <v>0</v>
      </c>
      <c r="J81" s="41">
        <v>0</v>
      </c>
      <c r="K81" s="145"/>
      <c r="L81" s="146">
        <v>0</v>
      </c>
      <c r="M81" s="45">
        <f t="shared" si="0"/>
        <v>0</v>
      </c>
      <c r="N81" s="45">
        <f t="shared" si="15"/>
        <v>0</v>
      </c>
      <c r="O81" s="45">
        <v>0</v>
      </c>
      <c r="P81" s="45">
        <v>0</v>
      </c>
      <c r="Q81" s="45">
        <f t="shared" si="1"/>
        <v>0</v>
      </c>
      <c r="R81" s="45">
        <v>0</v>
      </c>
      <c r="S81" s="70">
        <v>0</v>
      </c>
      <c r="T81" s="70">
        <v>0</v>
      </c>
      <c r="U81" s="45">
        <f t="shared" si="2"/>
        <v>0</v>
      </c>
      <c r="V81" s="45">
        <f t="shared" si="3"/>
        <v>0</v>
      </c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</row>
    <row r="82" spans="1:76" s="201" customFormat="1">
      <c r="A82" s="187">
        <v>70</v>
      </c>
      <c r="B82" s="188" t="s">
        <v>329</v>
      </c>
      <c r="C82" s="189" t="s">
        <v>318</v>
      </c>
      <c r="D82" s="190" t="s">
        <v>437</v>
      </c>
      <c r="E82" s="191" t="s">
        <v>450</v>
      </c>
      <c r="F82" s="192">
        <v>45154</v>
      </c>
      <c r="G82" s="193" t="s">
        <v>125</v>
      </c>
      <c r="H82" s="194">
        <f>32355</f>
        <v>32355</v>
      </c>
      <c r="I82" s="195">
        <v>0</v>
      </c>
      <c r="J82" s="195">
        <v>0</v>
      </c>
      <c r="K82" s="196"/>
      <c r="L82" s="197">
        <v>0</v>
      </c>
      <c r="M82" s="198">
        <f t="shared" si="0"/>
        <v>32355</v>
      </c>
      <c r="N82" s="198">
        <f t="shared" si="15"/>
        <v>9522</v>
      </c>
      <c r="O82" s="199">
        <f>495</f>
        <v>495</v>
      </c>
      <c r="P82" s="198">
        <v>0</v>
      </c>
      <c r="Q82" s="198">
        <f t="shared" si="1"/>
        <v>469</v>
      </c>
      <c r="R82" s="119">
        <f>187</f>
        <v>187</v>
      </c>
      <c r="S82" s="198">
        <f>9596</f>
        <v>9596</v>
      </c>
      <c r="T82" s="198">
        <f>329</f>
        <v>329</v>
      </c>
      <c r="U82" s="198">
        <f t="shared" si="2"/>
        <v>20598</v>
      </c>
      <c r="V82" s="198">
        <f t="shared" si="3"/>
        <v>52953</v>
      </c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</row>
    <row r="83" spans="1:76" ht="24.95" customHeight="1">
      <c r="A83" s="39">
        <v>71</v>
      </c>
      <c r="B83" s="59" t="s">
        <v>376</v>
      </c>
      <c r="C83" s="129" t="s">
        <v>375</v>
      </c>
      <c r="D83" s="130" t="s">
        <v>377</v>
      </c>
      <c r="E83" s="131" t="s">
        <v>452</v>
      </c>
      <c r="F83" s="132">
        <v>34820</v>
      </c>
      <c r="G83" s="76" t="s">
        <v>72</v>
      </c>
      <c r="H83" s="61">
        <v>75392</v>
      </c>
      <c r="I83" s="69">
        <v>0</v>
      </c>
      <c r="J83" s="41">
        <v>0</v>
      </c>
      <c r="K83" s="145">
        <v>46208</v>
      </c>
      <c r="L83" s="146">
        <f>598/4</f>
        <v>149.5</v>
      </c>
      <c r="M83" s="45">
        <f t="shared" si="0"/>
        <v>75541.5</v>
      </c>
      <c r="N83" s="45">
        <f>ROUND((M83*0.2943),0)</f>
        <v>22232</v>
      </c>
      <c r="O83" s="43">
        <f>495</f>
        <v>495</v>
      </c>
      <c r="P83" s="45">
        <v>0</v>
      </c>
      <c r="Q83" s="45">
        <f t="shared" si="1"/>
        <v>1095</v>
      </c>
      <c r="R83" s="121">
        <f>187</f>
        <v>187</v>
      </c>
      <c r="S83" s="63">
        <v>13493</v>
      </c>
      <c r="T83" s="63">
        <v>342</v>
      </c>
      <c r="U83" s="45">
        <f t="shared" si="2"/>
        <v>37844</v>
      </c>
      <c r="V83" s="45">
        <f t="shared" si="3"/>
        <v>113385.5</v>
      </c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</row>
    <row r="84" spans="1:76" s="201" customFormat="1" ht="24.95" customHeight="1">
      <c r="A84" s="187">
        <v>72</v>
      </c>
      <c r="B84" s="207" t="s">
        <v>378</v>
      </c>
      <c r="C84" s="189" t="s">
        <v>368</v>
      </c>
      <c r="D84" s="212" t="s">
        <v>525</v>
      </c>
      <c r="E84" s="213" t="s">
        <v>452</v>
      </c>
      <c r="F84" s="214"/>
      <c r="G84" s="193" t="s">
        <v>502</v>
      </c>
      <c r="H84" s="194">
        <v>42940</v>
      </c>
      <c r="I84" s="195">
        <v>0</v>
      </c>
      <c r="J84" s="195">
        <v>0</v>
      </c>
      <c r="K84" s="196"/>
      <c r="L84" s="197">
        <v>0</v>
      </c>
      <c r="M84" s="198">
        <f t="shared" si="0"/>
        <v>42940</v>
      </c>
      <c r="N84" s="198">
        <f t="shared" ref="N84:N87" si="16">ROUND((M84*0.2943),0)</f>
        <v>12637</v>
      </c>
      <c r="O84" s="198">
        <v>495</v>
      </c>
      <c r="P84" s="198">
        <v>0</v>
      </c>
      <c r="Q84" s="198">
        <f t="shared" si="1"/>
        <v>623</v>
      </c>
      <c r="R84" s="198">
        <v>187</v>
      </c>
      <c r="S84" s="198">
        <v>0</v>
      </c>
      <c r="T84" s="198">
        <v>0</v>
      </c>
      <c r="U84" s="198">
        <f t="shared" si="2"/>
        <v>13942</v>
      </c>
      <c r="V84" s="198">
        <f t="shared" si="3"/>
        <v>56882</v>
      </c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</row>
    <row r="85" spans="1:76" s="201" customFormat="1" ht="24.95" customHeight="1">
      <c r="A85" s="187">
        <v>73</v>
      </c>
      <c r="B85" s="207" t="s">
        <v>379</v>
      </c>
      <c r="C85" s="188" t="s">
        <v>307</v>
      </c>
      <c r="D85" s="212" t="s">
        <v>517</v>
      </c>
      <c r="E85" s="213" t="s">
        <v>452</v>
      </c>
      <c r="F85" s="214">
        <v>45530</v>
      </c>
      <c r="G85" s="193" t="s">
        <v>332</v>
      </c>
      <c r="H85" s="194">
        <v>48008</v>
      </c>
      <c r="I85" s="195">
        <v>0</v>
      </c>
      <c r="J85" s="195">
        <v>0</v>
      </c>
      <c r="K85" s="196" t="s">
        <v>518</v>
      </c>
      <c r="L85" s="197">
        <f>1667/4</f>
        <v>416.75</v>
      </c>
      <c r="M85" s="198">
        <f t="shared" si="0"/>
        <v>48424.75</v>
      </c>
      <c r="N85" s="198">
        <f t="shared" si="16"/>
        <v>14251</v>
      </c>
      <c r="O85" s="199">
        <f>495</f>
        <v>495</v>
      </c>
      <c r="P85" s="198">
        <v>0</v>
      </c>
      <c r="Q85" s="198">
        <f t="shared" si="1"/>
        <v>702</v>
      </c>
      <c r="R85" s="119">
        <f>187</f>
        <v>187</v>
      </c>
      <c r="S85" s="198">
        <v>8310</v>
      </c>
      <c r="T85" s="198">
        <v>342</v>
      </c>
      <c r="U85" s="198">
        <f t="shared" si="2"/>
        <v>24287</v>
      </c>
      <c r="V85" s="198">
        <f t="shared" si="3"/>
        <v>72711.75</v>
      </c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</row>
    <row r="86" spans="1:76" s="201" customFormat="1" ht="24.95" customHeight="1">
      <c r="A86" s="187">
        <v>74</v>
      </c>
      <c r="B86" s="207" t="s">
        <v>380</v>
      </c>
      <c r="C86" s="189" t="s">
        <v>212</v>
      </c>
      <c r="D86" s="212" t="s">
        <v>522</v>
      </c>
      <c r="E86" s="213" t="s">
        <v>452</v>
      </c>
      <c r="F86" s="214"/>
      <c r="G86" s="193" t="s">
        <v>312</v>
      </c>
      <c r="H86" s="194">
        <v>37913</v>
      </c>
      <c r="I86" s="195">
        <v>0</v>
      </c>
      <c r="J86" s="195">
        <v>0</v>
      </c>
      <c r="K86" s="196"/>
      <c r="L86" s="197">
        <v>0</v>
      </c>
      <c r="M86" s="198">
        <f t="shared" si="0"/>
        <v>37913</v>
      </c>
      <c r="N86" s="198">
        <f t="shared" si="16"/>
        <v>11158</v>
      </c>
      <c r="O86" s="199">
        <f>495</f>
        <v>495</v>
      </c>
      <c r="P86" s="198">
        <v>0</v>
      </c>
      <c r="Q86" s="198">
        <f t="shared" si="1"/>
        <v>550</v>
      </c>
      <c r="R86" s="119">
        <f>187</f>
        <v>187</v>
      </c>
      <c r="S86" s="198">
        <v>8310</v>
      </c>
      <c r="T86" s="198">
        <v>486</v>
      </c>
      <c r="U86" s="198">
        <f t="shared" si="2"/>
        <v>21186</v>
      </c>
      <c r="V86" s="198">
        <f t="shared" si="3"/>
        <v>59099</v>
      </c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</row>
    <row r="87" spans="1:76" s="201" customFormat="1" ht="32.25">
      <c r="A87" s="187">
        <v>75</v>
      </c>
      <c r="B87" s="207" t="s">
        <v>381</v>
      </c>
      <c r="C87" s="189" t="s">
        <v>523</v>
      </c>
      <c r="D87" s="212" t="s">
        <v>524</v>
      </c>
      <c r="E87" s="213" t="s">
        <v>452</v>
      </c>
      <c r="F87" s="214"/>
      <c r="G87" s="193" t="s">
        <v>148</v>
      </c>
      <c r="H87" s="194">
        <v>41372</v>
      </c>
      <c r="I87" s="195">
        <v>0</v>
      </c>
      <c r="J87" s="195">
        <v>0</v>
      </c>
      <c r="K87" s="196"/>
      <c r="L87" s="197">
        <v>0</v>
      </c>
      <c r="M87" s="198">
        <f t="shared" si="0"/>
        <v>41372</v>
      </c>
      <c r="N87" s="198">
        <f t="shared" si="16"/>
        <v>12176</v>
      </c>
      <c r="O87" s="198">
        <v>0</v>
      </c>
      <c r="P87" s="198">
        <v>0</v>
      </c>
      <c r="Q87" s="198">
        <f t="shared" si="1"/>
        <v>600</v>
      </c>
      <c r="R87" s="198">
        <v>0</v>
      </c>
      <c r="S87" s="198">
        <v>8310</v>
      </c>
      <c r="T87" s="198">
        <v>486</v>
      </c>
      <c r="U87" s="198">
        <f t="shared" si="2"/>
        <v>21572</v>
      </c>
      <c r="V87" s="198">
        <f t="shared" si="3"/>
        <v>62944</v>
      </c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</row>
    <row r="88" spans="1:76">
      <c r="A88" s="39">
        <v>76</v>
      </c>
      <c r="B88" s="133">
        <v>2001</v>
      </c>
      <c r="C88" s="46" t="s">
        <v>122</v>
      </c>
      <c r="D88" s="77" t="s">
        <v>522</v>
      </c>
      <c r="E88" s="89" t="s">
        <v>448</v>
      </c>
      <c r="F88" s="107"/>
      <c r="G88" s="46" t="s">
        <v>94</v>
      </c>
      <c r="H88" s="65">
        <f>41372</f>
        <v>41372</v>
      </c>
      <c r="I88" s="69">
        <v>0</v>
      </c>
      <c r="J88" s="41">
        <v>0</v>
      </c>
      <c r="K88" s="145"/>
      <c r="L88" s="146">
        <v>0</v>
      </c>
      <c r="M88" s="45">
        <f t="shared" si="0"/>
        <v>41372</v>
      </c>
      <c r="N88" s="45">
        <f>ROUND((M88*0.2943),0)</f>
        <v>12176</v>
      </c>
      <c r="O88" s="43">
        <f>495</f>
        <v>495</v>
      </c>
      <c r="P88" s="45">
        <v>0</v>
      </c>
      <c r="Q88" s="45">
        <f t="shared" si="1"/>
        <v>600</v>
      </c>
      <c r="R88" s="121">
        <f>187</f>
        <v>187</v>
      </c>
      <c r="S88" s="45">
        <v>8310</v>
      </c>
      <c r="T88" s="45">
        <v>486</v>
      </c>
      <c r="U88" s="45">
        <f t="shared" si="2"/>
        <v>22254</v>
      </c>
      <c r="V88" s="45">
        <f t="shared" si="3"/>
        <v>63626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>
      <c r="A89" s="39">
        <v>77</v>
      </c>
      <c r="B89" s="51" t="s">
        <v>123</v>
      </c>
      <c r="C89" s="46" t="s">
        <v>102</v>
      </c>
      <c r="D89" s="77" t="s">
        <v>124</v>
      </c>
      <c r="E89" s="89" t="s">
        <v>448</v>
      </c>
      <c r="F89" s="107">
        <v>44305</v>
      </c>
      <c r="G89" s="46" t="s">
        <v>125</v>
      </c>
      <c r="H89" s="65">
        <f>32355</f>
        <v>32355</v>
      </c>
      <c r="I89" s="69">
        <v>0</v>
      </c>
      <c r="J89" s="41">
        <v>0</v>
      </c>
      <c r="K89" s="145"/>
      <c r="L89" s="146">
        <v>0</v>
      </c>
      <c r="M89" s="45">
        <f t="shared" si="0"/>
        <v>32355</v>
      </c>
      <c r="N89" s="45">
        <f>ROUND((M89*0.2943),0)</f>
        <v>9522</v>
      </c>
      <c r="O89" s="43">
        <f>495</f>
        <v>495</v>
      </c>
      <c r="P89" s="45">
        <v>0</v>
      </c>
      <c r="Q89" s="45">
        <f t="shared" si="1"/>
        <v>469</v>
      </c>
      <c r="R89" s="121">
        <f>187</f>
        <v>187</v>
      </c>
      <c r="S89" s="45">
        <v>8551</v>
      </c>
      <c r="T89" s="45">
        <v>342</v>
      </c>
      <c r="U89" s="45">
        <f t="shared" si="2"/>
        <v>19566</v>
      </c>
      <c r="V89" s="45">
        <f t="shared" si="3"/>
        <v>51921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</row>
    <row r="90" spans="1:76">
      <c r="A90" s="39">
        <v>78</v>
      </c>
      <c r="B90" s="84" t="s">
        <v>419</v>
      </c>
      <c r="C90" s="46" t="s">
        <v>463</v>
      </c>
      <c r="D90" s="77" t="s">
        <v>420</v>
      </c>
      <c r="E90" s="89" t="s">
        <v>453</v>
      </c>
      <c r="F90" s="107">
        <v>43381</v>
      </c>
      <c r="G90" s="46" t="s">
        <v>526</v>
      </c>
      <c r="H90" s="65">
        <v>68648</v>
      </c>
      <c r="I90" s="69">
        <v>0</v>
      </c>
      <c r="J90" s="41">
        <v>0</v>
      </c>
      <c r="K90" s="145">
        <v>45927</v>
      </c>
      <c r="L90" s="146">
        <f>181/4</f>
        <v>45.25</v>
      </c>
      <c r="M90" s="45">
        <f t="shared" si="0"/>
        <v>68693.25</v>
      </c>
      <c r="N90" s="45">
        <f>ROUND((M90*0.2943),0)</f>
        <v>20216</v>
      </c>
      <c r="O90" s="43">
        <f>495</f>
        <v>495</v>
      </c>
      <c r="P90" s="45">
        <v>0</v>
      </c>
      <c r="Q90" s="45">
        <f t="shared" si="1"/>
        <v>996</v>
      </c>
      <c r="R90" s="121">
        <f>187</f>
        <v>187</v>
      </c>
      <c r="S90" s="45">
        <v>8551</v>
      </c>
      <c r="T90" s="45">
        <v>342</v>
      </c>
      <c r="U90" s="45">
        <f t="shared" si="2"/>
        <v>30787</v>
      </c>
      <c r="V90" s="45">
        <f t="shared" si="3"/>
        <v>99480.25</v>
      </c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>
      <c r="A91" s="114">
        <v>79</v>
      </c>
      <c r="B91" s="134" t="s">
        <v>426</v>
      </c>
      <c r="C91" s="64" t="s">
        <v>427</v>
      </c>
      <c r="D91" s="77" t="s">
        <v>428</v>
      </c>
      <c r="E91" s="89" t="s">
        <v>453</v>
      </c>
      <c r="F91" s="107">
        <v>43563</v>
      </c>
      <c r="G91" s="64" t="s">
        <v>527</v>
      </c>
      <c r="H91" s="65">
        <v>55402</v>
      </c>
      <c r="I91" s="69">
        <v>0</v>
      </c>
      <c r="J91" s="69">
        <v>0</v>
      </c>
      <c r="K91" s="143">
        <v>46319</v>
      </c>
      <c r="L91" s="144">
        <f>1758/4</f>
        <v>439.5</v>
      </c>
      <c r="M91" s="63">
        <f>(+H91+I91+J91+L91)</f>
        <v>55841.5</v>
      </c>
      <c r="N91" s="63">
        <f t="shared" ref="N91:N94" si="17">ROUND((M91*0.2943),0)</f>
        <v>16434</v>
      </c>
      <c r="O91" s="115">
        <f>495</f>
        <v>495</v>
      </c>
      <c r="P91" s="63">
        <v>0</v>
      </c>
      <c r="Q91" s="63">
        <f t="shared" si="1"/>
        <v>810</v>
      </c>
      <c r="R91" s="119">
        <f>187</f>
        <v>187</v>
      </c>
      <c r="S91" s="63">
        <v>21918</v>
      </c>
      <c r="T91" s="63">
        <v>653</v>
      </c>
      <c r="U91" s="63">
        <f t="shared" si="2"/>
        <v>40497</v>
      </c>
      <c r="V91" s="63">
        <f t="shared" si="3"/>
        <v>96338.5</v>
      </c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</row>
    <row r="92" spans="1:76">
      <c r="A92" s="114">
        <v>80</v>
      </c>
      <c r="B92" s="134" t="s">
        <v>429</v>
      </c>
      <c r="C92" s="64" t="s">
        <v>427</v>
      </c>
      <c r="D92" s="77" t="s">
        <v>430</v>
      </c>
      <c r="E92" s="89" t="s">
        <v>453</v>
      </c>
      <c r="F92" s="107">
        <v>40637</v>
      </c>
      <c r="G92" s="64" t="s">
        <v>220</v>
      </c>
      <c r="H92" s="65">
        <v>47391</v>
      </c>
      <c r="I92" s="69">
        <v>0</v>
      </c>
      <c r="J92" s="69">
        <v>0</v>
      </c>
      <c r="K92" s="143">
        <v>45785</v>
      </c>
      <c r="L92" s="144">
        <f>626/4</f>
        <v>156.5</v>
      </c>
      <c r="M92" s="63">
        <f>(+H92+I92+J92+L92)</f>
        <v>47547.5</v>
      </c>
      <c r="N92" s="63">
        <f t="shared" si="17"/>
        <v>13993</v>
      </c>
      <c r="O92" s="115">
        <f>495</f>
        <v>495</v>
      </c>
      <c r="P92" s="63">
        <v>0</v>
      </c>
      <c r="Q92" s="63">
        <f t="shared" si="1"/>
        <v>689</v>
      </c>
      <c r="R92" s="119">
        <f>187</f>
        <v>187</v>
      </c>
      <c r="S92" s="63">
        <v>13493</v>
      </c>
      <c r="T92" s="63">
        <v>404</v>
      </c>
      <c r="U92" s="63">
        <f t="shared" si="2"/>
        <v>29261</v>
      </c>
      <c r="V92" s="63">
        <f t="shared" si="3"/>
        <v>76808.5</v>
      </c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</row>
    <row r="93" spans="1:76">
      <c r="A93" s="39">
        <v>81</v>
      </c>
      <c r="B93" s="84" t="s">
        <v>431</v>
      </c>
      <c r="C93" s="46" t="s">
        <v>432</v>
      </c>
      <c r="D93" s="77" t="s">
        <v>93</v>
      </c>
      <c r="E93" s="89"/>
      <c r="F93" s="107"/>
      <c r="G93" s="46" t="s">
        <v>94</v>
      </c>
      <c r="H93" s="65">
        <v>0</v>
      </c>
      <c r="I93" s="69">
        <v>0</v>
      </c>
      <c r="J93" s="41">
        <v>0</v>
      </c>
      <c r="K93" s="145"/>
      <c r="L93" s="146">
        <v>0</v>
      </c>
      <c r="M93" s="45">
        <f t="shared" ref="M93:M94" si="18">(+H93+I93+J93+L93)</f>
        <v>0</v>
      </c>
      <c r="N93" s="45">
        <f t="shared" si="17"/>
        <v>0</v>
      </c>
      <c r="O93" s="45">
        <v>0</v>
      </c>
      <c r="P93" s="45">
        <v>0</v>
      </c>
      <c r="Q93" s="45">
        <f t="shared" si="1"/>
        <v>0</v>
      </c>
      <c r="R93" s="45">
        <v>0</v>
      </c>
      <c r="S93" s="45">
        <v>0</v>
      </c>
      <c r="T93" s="45">
        <v>0</v>
      </c>
      <c r="U93" s="45">
        <f t="shared" si="2"/>
        <v>0</v>
      </c>
      <c r="V93" s="45">
        <f t="shared" si="3"/>
        <v>0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</row>
    <row r="94" spans="1:76">
      <c r="A94" s="39">
        <v>82</v>
      </c>
      <c r="B94" s="84" t="s">
        <v>433</v>
      </c>
      <c r="C94" s="46" t="s">
        <v>434</v>
      </c>
      <c r="D94" s="77" t="s">
        <v>93</v>
      </c>
      <c r="E94" s="89"/>
      <c r="F94" s="107"/>
      <c r="G94" s="46" t="s">
        <v>69</v>
      </c>
      <c r="H94" s="65">
        <v>0</v>
      </c>
      <c r="I94" s="69">
        <v>0</v>
      </c>
      <c r="J94" s="41">
        <v>0</v>
      </c>
      <c r="K94" s="145"/>
      <c r="L94" s="146">
        <v>0</v>
      </c>
      <c r="M94" s="45">
        <f t="shared" si="18"/>
        <v>0</v>
      </c>
      <c r="N94" s="45">
        <f t="shared" si="17"/>
        <v>0</v>
      </c>
      <c r="O94" s="45">
        <v>0</v>
      </c>
      <c r="P94" s="45">
        <v>0</v>
      </c>
      <c r="Q94" s="45">
        <f t="shared" si="1"/>
        <v>0</v>
      </c>
      <c r="R94" s="45">
        <v>0</v>
      </c>
      <c r="S94" s="45">
        <v>0</v>
      </c>
      <c r="T94" s="45">
        <v>0</v>
      </c>
      <c r="U94" s="45">
        <f t="shared" si="2"/>
        <v>0</v>
      </c>
      <c r="V94" s="45">
        <f t="shared" si="3"/>
        <v>0</v>
      </c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</row>
    <row r="95" spans="1:76">
      <c r="A95" s="39">
        <v>83</v>
      </c>
      <c r="B95" s="84" t="s">
        <v>421</v>
      </c>
      <c r="C95" s="46" t="s">
        <v>422</v>
      </c>
      <c r="D95" s="77" t="s">
        <v>423</v>
      </c>
      <c r="E95" s="89"/>
      <c r="F95" s="107"/>
      <c r="G95" s="46" t="s">
        <v>158</v>
      </c>
      <c r="H95" s="65">
        <v>0</v>
      </c>
      <c r="I95" s="69">
        <v>0</v>
      </c>
      <c r="J95" s="41">
        <v>0</v>
      </c>
      <c r="K95" s="145"/>
      <c r="L95" s="146">
        <v>0</v>
      </c>
      <c r="M95" s="45">
        <f t="shared" si="0"/>
        <v>0</v>
      </c>
      <c r="N95" s="45">
        <f t="shared" ref="N95:N96" si="19">ROUND((M95*0.2943),0)</f>
        <v>0</v>
      </c>
      <c r="O95" s="45">
        <v>0</v>
      </c>
      <c r="P95" s="45">
        <v>0</v>
      </c>
      <c r="Q95" s="45">
        <f t="shared" si="1"/>
        <v>0</v>
      </c>
      <c r="R95" s="45">
        <v>0</v>
      </c>
      <c r="S95" s="45">
        <v>0</v>
      </c>
      <c r="T95" s="45">
        <v>0</v>
      </c>
      <c r="U95" s="45">
        <f t="shared" si="2"/>
        <v>0</v>
      </c>
      <c r="V95" s="45">
        <f t="shared" si="3"/>
        <v>0</v>
      </c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</row>
    <row r="96" spans="1:76">
      <c r="A96" s="114">
        <v>84</v>
      </c>
      <c r="B96" s="72" t="s">
        <v>425</v>
      </c>
      <c r="C96" s="64" t="s">
        <v>102</v>
      </c>
      <c r="D96" s="77" t="s">
        <v>424</v>
      </c>
      <c r="E96" s="89" t="s">
        <v>453</v>
      </c>
      <c r="F96" s="107">
        <v>44144</v>
      </c>
      <c r="G96" s="64" t="s">
        <v>79</v>
      </c>
      <c r="H96" s="65">
        <f>32355</f>
        <v>32355</v>
      </c>
      <c r="I96" s="69">
        <v>0</v>
      </c>
      <c r="J96" s="69">
        <v>0</v>
      </c>
      <c r="K96" s="143"/>
      <c r="L96" s="144">
        <v>0</v>
      </c>
      <c r="M96" s="63">
        <f t="shared" si="0"/>
        <v>32355</v>
      </c>
      <c r="N96" s="63">
        <f t="shared" si="19"/>
        <v>9522</v>
      </c>
      <c r="O96" s="115">
        <f>495</f>
        <v>495</v>
      </c>
      <c r="P96" s="63">
        <v>0</v>
      </c>
      <c r="Q96" s="63">
        <f t="shared" si="1"/>
        <v>469</v>
      </c>
      <c r="R96" s="119">
        <f>187</f>
        <v>187</v>
      </c>
      <c r="S96" s="63">
        <v>11192</v>
      </c>
      <c r="T96" s="63">
        <v>653</v>
      </c>
      <c r="U96" s="63">
        <f t="shared" si="2"/>
        <v>22518</v>
      </c>
      <c r="V96" s="63">
        <f t="shared" si="3"/>
        <v>54873</v>
      </c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</row>
    <row r="97" spans="1:76">
      <c r="A97" s="39">
        <v>85</v>
      </c>
      <c r="B97" s="40">
        <v>3000</v>
      </c>
      <c r="C97" s="46" t="s">
        <v>126</v>
      </c>
      <c r="D97" s="77" t="s">
        <v>93</v>
      </c>
      <c r="E97" s="89"/>
      <c r="F97" s="107"/>
      <c r="G97" s="46" t="s">
        <v>127</v>
      </c>
      <c r="H97" s="65">
        <v>0</v>
      </c>
      <c r="I97" s="69">
        <v>0</v>
      </c>
      <c r="J97" s="41">
        <v>0</v>
      </c>
      <c r="K97" s="145"/>
      <c r="L97" s="146">
        <v>0</v>
      </c>
      <c r="M97" s="45">
        <f t="shared" si="0"/>
        <v>0</v>
      </c>
      <c r="N97" s="45">
        <f>ROUND((M97*0.2943),0)</f>
        <v>0</v>
      </c>
      <c r="O97" s="45">
        <v>0</v>
      </c>
      <c r="P97" s="45">
        <v>0</v>
      </c>
      <c r="Q97" s="45">
        <f t="shared" si="1"/>
        <v>0</v>
      </c>
      <c r="R97" s="45">
        <v>0</v>
      </c>
      <c r="S97" s="45">
        <v>0</v>
      </c>
      <c r="T97" s="45">
        <v>0</v>
      </c>
      <c r="U97" s="45">
        <f t="shared" si="2"/>
        <v>0</v>
      </c>
      <c r="V97" s="45">
        <f t="shared" si="3"/>
        <v>0</v>
      </c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</row>
    <row r="98" spans="1:76" s="201" customFormat="1">
      <c r="A98" s="187">
        <v>86</v>
      </c>
      <c r="B98" s="188">
        <v>3001</v>
      </c>
      <c r="C98" s="188" t="s">
        <v>128</v>
      </c>
      <c r="D98" s="209" t="s">
        <v>129</v>
      </c>
      <c r="E98" s="204" t="s">
        <v>448</v>
      </c>
      <c r="F98" s="205"/>
      <c r="G98" s="188" t="s">
        <v>144</v>
      </c>
      <c r="H98" s="210">
        <v>37913</v>
      </c>
      <c r="I98" s="195">
        <v>0</v>
      </c>
      <c r="J98" s="195">
        <v>0</v>
      </c>
      <c r="K98" s="196"/>
      <c r="L98" s="197">
        <v>0</v>
      </c>
      <c r="M98" s="198">
        <f t="shared" si="0"/>
        <v>37913</v>
      </c>
      <c r="N98" s="198">
        <f>ROUND((M98*0.2943),0)</f>
        <v>11158</v>
      </c>
      <c r="O98" s="199">
        <f>495</f>
        <v>495</v>
      </c>
      <c r="P98" s="198">
        <v>0</v>
      </c>
      <c r="Q98" s="198">
        <f t="shared" si="1"/>
        <v>550</v>
      </c>
      <c r="R98" s="119">
        <f>187</f>
        <v>187</v>
      </c>
      <c r="S98" s="198">
        <v>8310</v>
      </c>
      <c r="T98" s="198">
        <v>486</v>
      </c>
      <c r="U98" s="198">
        <f t="shared" si="2"/>
        <v>21186</v>
      </c>
      <c r="V98" s="198">
        <f t="shared" si="3"/>
        <v>59099</v>
      </c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</row>
    <row r="99" spans="1:76">
      <c r="A99" s="39">
        <v>87</v>
      </c>
      <c r="B99" s="135">
        <v>3002</v>
      </c>
      <c r="C99" s="46" t="s">
        <v>130</v>
      </c>
      <c r="D99" s="77" t="s">
        <v>93</v>
      </c>
      <c r="E99" s="89"/>
      <c r="F99" s="107"/>
      <c r="G99" s="46" t="s">
        <v>79</v>
      </c>
      <c r="H99" s="65">
        <v>0</v>
      </c>
      <c r="I99" s="69">
        <v>0</v>
      </c>
      <c r="J99" s="41">
        <v>0</v>
      </c>
      <c r="K99" s="145"/>
      <c r="L99" s="146">
        <v>0</v>
      </c>
      <c r="M99" s="45">
        <f t="shared" si="0"/>
        <v>0</v>
      </c>
      <c r="N99" s="45">
        <f>ROUND((M99*0.2943),0)</f>
        <v>0</v>
      </c>
      <c r="O99" s="45">
        <v>0</v>
      </c>
      <c r="P99" s="45">
        <v>0</v>
      </c>
      <c r="Q99" s="45">
        <f t="shared" si="1"/>
        <v>0</v>
      </c>
      <c r="R99" s="45">
        <v>0</v>
      </c>
      <c r="S99" s="45">
        <v>0</v>
      </c>
      <c r="T99" s="45">
        <v>0</v>
      </c>
      <c r="U99" s="45">
        <f t="shared" si="2"/>
        <v>0</v>
      </c>
      <c r="V99" s="45">
        <f t="shared" si="3"/>
        <v>0</v>
      </c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</row>
    <row r="100" spans="1:76">
      <c r="A100" s="114">
        <v>88</v>
      </c>
      <c r="B100" s="59">
        <v>3003</v>
      </c>
      <c r="C100" s="97" t="s">
        <v>528</v>
      </c>
      <c r="D100" s="77" t="s">
        <v>103</v>
      </c>
      <c r="E100" s="89" t="s">
        <v>448</v>
      </c>
      <c r="F100" s="107">
        <v>44957</v>
      </c>
      <c r="G100" s="64" t="s">
        <v>69</v>
      </c>
      <c r="H100" s="65">
        <f>34886</f>
        <v>34886</v>
      </c>
      <c r="I100" s="69">
        <v>0</v>
      </c>
      <c r="J100" s="69">
        <v>0</v>
      </c>
      <c r="K100" s="143"/>
      <c r="L100" s="144">
        <v>0</v>
      </c>
      <c r="M100" s="63">
        <f t="shared" si="0"/>
        <v>34886</v>
      </c>
      <c r="N100" s="63">
        <f t="shared" ref="N100:N103" si="20">ROUND((M100*0.2943),0)</f>
        <v>10267</v>
      </c>
      <c r="O100" s="115">
        <f>495</f>
        <v>495</v>
      </c>
      <c r="P100" s="63">
        <v>0</v>
      </c>
      <c r="Q100" s="63">
        <f t="shared" si="1"/>
        <v>506</v>
      </c>
      <c r="R100" s="119">
        <f>187</f>
        <v>187</v>
      </c>
      <c r="S100" s="63">
        <v>0</v>
      </c>
      <c r="T100" s="63">
        <v>0</v>
      </c>
      <c r="U100" s="63">
        <f t="shared" si="2"/>
        <v>11455</v>
      </c>
      <c r="V100" s="63">
        <f t="shared" si="3"/>
        <v>46341</v>
      </c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</row>
    <row r="101" spans="1:76">
      <c r="A101" s="114">
        <v>89</v>
      </c>
      <c r="B101" s="64">
        <v>3004</v>
      </c>
      <c r="C101" s="64" t="s">
        <v>131</v>
      </c>
      <c r="D101" s="77" t="s">
        <v>132</v>
      </c>
      <c r="E101" s="89" t="s">
        <v>448</v>
      </c>
      <c r="F101" s="107">
        <v>44004</v>
      </c>
      <c r="G101" s="64" t="s">
        <v>494</v>
      </c>
      <c r="H101" s="65">
        <v>36209</v>
      </c>
      <c r="I101" s="69">
        <v>0</v>
      </c>
      <c r="J101" s="69">
        <v>0</v>
      </c>
      <c r="K101" s="143">
        <v>45855</v>
      </c>
      <c r="L101" s="144">
        <f>343/4</f>
        <v>85.75</v>
      </c>
      <c r="M101" s="63">
        <f t="shared" si="0"/>
        <v>36294.75</v>
      </c>
      <c r="N101" s="63">
        <f t="shared" si="20"/>
        <v>10682</v>
      </c>
      <c r="O101" s="115">
        <f>495</f>
        <v>495</v>
      </c>
      <c r="P101" s="63">
        <v>0</v>
      </c>
      <c r="Q101" s="63">
        <f t="shared" si="1"/>
        <v>526</v>
      </c>
      <c r="R101" s="119">
        <f>187</f>
        <v>187</v>
      </c>
      <c r="S101" s="63">
        <v>8551</v>
      </c>
      <c r="T101" s="63">
        <v>342</v>
      </c>
      <c r="U101" s="63">
        <f t="shared" si="2"/>
        <v>20783</v>
      </c>
      <c r="V101" s="63">
        <f t="shared" si="3"/>
        <v>57077.75</v>
      </c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</row>
    <row r="102" spans="1:76">
      <c r="A102" s="39">
        <v>90</v>
      </c>
      <c r="B102" s="135">
        <v>3005</v>
      </c>
      <c r="C102" s="46" t="s">
        <v>483</v>
      </c>
      <c r="D102" s="80" t="s">
        <v>443</v>
      </c>
      <c r="E102" s="89" t="s">
        <v>448</v>
      </c>
      <c r="F102" s="107">
        <v>45152</v>
      </c>
      <c r="G102" s="46" t="s">
        <v>79</v>
      </c>
      <c r="H102" s="65">
        <f>32355</f>
        <v>32355</v>
      </c>
      <c r="I102" s="69">
        <v>0</v>
      </c>
      <c r="J102" s="41">
        <v>0</v>
      </c>
      <c r="K102" s="145"/>
      <c r="L102" s="146">
        <v>0</v>
      </c>
      <c r="M102" s="45">
        <f t="shared" si="0"/>
        <v>32355</v>
      </c>
      <c r="N102" s="45">
        <f t="shared" si="20"/>
        <v>9522</v>
      </c>
      <c r="O102" s="43">
        <f>495</f>
        <v>495</v>
      </c>
      <c r="P102" s="45">
        <v>0</v>
      </c>
      <c r="Q102" s="45">
        <f t="shared" si="1"/>
        <v>469</v>
      </c>
      <c r="R102" s="121">
        <f>187</f>
        <v>187</v>
      </c>
      <c r="S102" s="45">
        <v>4801</v>
      </c>
      <c r="T102" s="45">
        <v>342</v>
      </c>
      <c r="U102" s="45">
        <f t="shared" si="2"/>
        <v>15816</v>
      </c>
      <c r="V102" s="45">
        <f t="shared" si="3"/>
        <v>48171</v>
      </c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</row>
    <row r="103" spans="1:76">
      <c r="A103" s="39">
        <v>91</v>
      </c>
      <c r="B103" s="64">
        <v>3006</v>
      </c>
      <c r="C103" s="46" t="s">
        <v>133</v>
      </c>
      <c r="D103" s="80" t="s">
        <v>442</v>
      </c>
      <c r="E103" s="89" t="s">
        <v>448</v>
      </c>
      <c r="F103" s="107">
        <v>45159</v>
      </c>
      <c r="G103" s="46" t="s">
        <v>79</v>
      </c>
      <c r="H103" s="65">
        <f>32355</f>
        <v>32355</v>
      </c>
      <c r="I103" s="69">
        <v>0</v>
      </c>
      <c r="J103" s="41">
        <v>0</v>
      </c>
      <c r="K103" s="145"/>
      <c r="L103" s="146">
        <v>0</v>
      </c>
      <c r="M103" s="45">
        <f t="shared" si="0"/>
        <v>32355</v>
      </c>
      <c r="N103" s="45">
        <f t="shared" si="20"/>
        <v>9522</v>
      </c>
      <c r="O103" s="43">
        <f>495</f>
        <v>495</v>
      </c>
      <c r="P103" s="45">
        <v>0</v>
      </c>
      <c r="Q103" s="45">
        <f t="shared" si="1"/>
        <v>469</v>
      </c>
      <c r="R103" s="121">
        <f>187</f>
        <v>187</v>
      </c>
      <c r="S103" s="45">
        <v>8310</v>
      </c>
      <c r="T103" s="45">
        <v>486</v>
      </c>
      <c r="U103" s="45">
        <f t="shared" si="2"/>
        <v>19469</v>
      </c>
      <c r="V103" s="45">
        <f t="shared" si="3"/>
        <v>51824</v>
      </c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</row>
    <row r="104" spans="1:76">
      <c r="A104" s="114">
        <v>92</v>
      </c>
      <c r="B104" s="136" t="s">
        <v>134</v>
      </c>
      <c r="C104" s="137" t="s">
        <v>135</v>
      </c>
      <c r="D104" s="77" t="s">
        <v>93</v>
      </c>
      <c r="E104" s="89"/>
      <c r="F104" s="107"/>
      <c r="G104" s="64" t="s">
        <v>136</v>
      </c>
      <c r="H104" s="65">
        <v>0</v>
      </c>
      <c r="I104" s="69">
        <v>0</v>
      </c>
      <c r="J104" s="69">
        <v>0</v>
      </c>
      <c r="K104" s="143"/>
      <c r="L104" s="144">
        <v>0</v>
      </c>
      <c r="M104" s="63">
        <f t="shared" si="0"/>
        <v>0</v>
      </c>
      <c r="N104" s="63">
        <f>ROUND((M104*0.2943),0)</f>
        <v>0</v>
      </c>
      <c r="O104" s="63">
        <v>0</v>
      </c>
      <c r="P104" s="63">
        <v>0</v>
      </c>
      <c r="Q104" s="63">
        <f t="shared" si="1"/>
        <v>0</v>
      </c>
      <c r="R104" s="63">
        <v>0</v>
      </c>
      <c r="S104" s="63">
        <v>0</v>
      </c>
      <c r="T104" s="63">
        <v>0</v>
      </c>
      <c r="U104" s="63">
        <f t="shared" si="2"/>
        <v>0</v>
      </c>
      <c r="V104" s="63">
        <f t="shared" si="3"/>
        <v>0</v>
      </c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</row>
    <row r="105" spans="1:76">
      <c r="A105" s="114">
        <v>93</v>
      </c>
      <c r="B105" s="138" t="s">
        <v>137</v>
      </c>
      <c r="C105" s="139" t="s">
        <v>138</v>
      </c>
      <c r="D105" s="140" t="s">
        <v>139</v>
      </c>
      <c r="E105" s="103" t="s">
        <v>448</v>
      </c>
      <c r="F105" s="105">
        <v>29737</v>
      </c>
      <c r="G105" s="155" t="s">
        <v>529</v>
      </c>
      <c r="H105" s="65">
        <v>107826</v>
      </c>
      <c r="I105" s="69">
        <v>0</v>
      </c>
      <c r="J105" s="69">
        <v>0</v>
      </c>
      <c r="K105" s="143">
        <v>46260</v>
      </c>
      <c r="L105" s="144">
        <f>570/4</f>
        <v>142.5</v>
      </c>
      <c r="M105" s="63">
        <f t="shared" si="0"/>
        <v>107968.5</v>
      </c>
      <c r="N105" s="63">
        <f>ROUND((M105*0.2943),0)</f>
        <v>31775</v>
      </c>
      <c r="O105" s="63">
        <v>0</v>
      </c>
      <c r="P105" s="63">
        <v>0</v>
      </c>
      <c r="Q105" s="63">
        <f t="shared" si="1"/>
        <v>1566</v>
      </c>
      <c r="R105" s="119">
        <f>187</f>
        <v>187</v>
      </c>
      <c r="S105" s="63">
        <v>4801</v>
      </c>
      <c r="T105" s="63">
        <v>342</v>
      </c>
      <c r="U105" s="63">
        <f t="shared" si="2"/>
        <v>38671</v>
      </c>
      <c r="V105" s="63">
        <f t="shared" si="3"/>
        <v>146639.5</v>
      </c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</row>
    <row r="106" spans="1:76" ht="21.75">
      <c r="A106" s="39">
        <v>94</v>
      </c>
      <c r="B106" s="84" t="s">
        <v>140</v>
      </c>
      <c r="C106" s="40" t="s">
        <v>141</v>
      </c>
      <c r="D106" s="141" t="s">
        <v>142</v>
      </c>
      <c r="E106" s="142" t="s">
        <v>454</v>
      </c>
      <c r="F106" s="106">
        <v>38817</v>
      </c>
      <c r="G106" s="46" t="s">
        <v>67</v>
      </c>
      <c r="H106" s="65">
        <v>86219</v>
      </c>
      <c r="I106" s="69">
        <v>0</v>
      </c>
      <c r="J106" s="41">
        <v>0</v>
      </c>
      <c r="K106" s="145">
        <v>46096</v>
      </c>
      <c r="L106" s="146">
        <f>1597/4</f>
        <v>399.25</v>
      </c>
      <c r="M106" s="45">
        <f t="shared" si="0"/>
        <v>86618.25</v>
      </c>
      <c r="N106" s="45">
        <f>ROUND((M106*0.2943),0)</f>
        <v>25492</v>
      </c>
      <c r="O106" s="43">
        <f>495</f>
        <v>495</v>
      </c>
      <c r="P106" s="45">
        <v>0</v>
      </c>
      <c r="Q106" s="45">
        <f t="shared" si="1"/>
        <v>1256</v>
      </c>
      <c r="R106" s="121">
        <f>187</f>
        <v>187</v>
      </c>
      <c r="S106" s="45">
        <v>21918</v>
      </c>
      <c r="T106" s="45">
        <v>653</v>
      </c>
      <c r="U106" s="45">
        <f t="shared" si="2"/>
        <v>50001</v>
      </c>
      <c r="V106" s="45">
        <f t="shared" si="3"/>
        <v>136619.25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</row>
    <row r="107" spans="1:76">
      <c r="A107" s="39">
        <v>95</v>
      </c>
      <c r="B107" s="51" t="s">
        <v>143</v>
      </c>
      <c r="C107" s="46" t="s">
        <v>486</v>
      </c>
      <c r="D107" s="77" t="s">
        <v>356</v>
      </c>
      <c r="E107" s="89" t="s">
        <v>448</v>
      </c>
      <c r="F107" s="107">
        <v>45313</v>
      </c>
      <c r="G107" s="46" t="s">
        <v>94</v>
      </c>
      <c r="H107" s="65">
        <v>41372</v>
      </c>
      <c r="I107" s="69">
        <v>0</v>
      </c>
      <c r="J107" s="41">
        <v>0</v>
      </c>
      <c r="K107" s="145">
        <v>45965</v>
      </c>
      <c r="L107" s="146">
        <f>1437/4</f>
        <v>359.25</v>
      </c>
      <c r="M107" s="45">
        <f t="shared" si="0"/>
        <v>41731.25</v>
      </c>
      <c r="N107" s="45">
        <f t="shared" ref="N107" si="21">ROUND((M107*0.2943),0)</f>
        <v>12282</v>
      </c>
      <c r="O107" s="45">
        <v>0</v>
      </c>
      <c r="P107" s="45">
        <v>0</v>
      </c>
      <c r="Q107" s="45">
        <f t="shared" si="1"/>
        <v>605</v>
      </c>
      <c r="R107" s="45">
        <v>0</v>
      </c>
      <c r="S107" s="45">
        <v>4801</v>
      </c>
      <c r="T107" s="45">
        <v>342</v>
      </c>
      <c r="U107" s="45">
        <f t="shared" si="2"/>
        <v>18030</v>
      </c>
      <c r="V107" s="45">
        <f t="shared" si="3"/>
        <v>59761.25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</row>
    <row r="108" spans="1:76">
      <c r="A108" s="39">
        <v>96</v>
      </c>
      <c r="B108" s="51" t="s">
        <v>146</v>
      </c>
      <c r="C108" s="46" t="s">
        <v>147</v>
      </c>
      <c r="D108" s="77" t="s">
        <v>93</v>
      </c>
      <c r="E108" s="89"/>
      <c r="F108" s="107"/>
      <c r="G108" s="46" t="s">
        <v>148</v>
      </c>
      <c r="H108" s="65">
        <v>0</v>
      </c>
      <c r="I108" s="69">
        <v>0</v>
      </c>
      <c r="J108" s="41">
        <v>0</v>
      </c>
      <c r="K108" s="145" t="s">
        <v>145</v>
      </c>
      <c r="L108" s="146">
        <v>0</v>
      </c>
      <c r="M108" s="45">
        <f t="shared" si="0"/>
        <v>0</v>
      </c>
      <c r="N108" s="45">
        <f t="shared" ref="N108:N123" si="22">ROUND((M108*0.2943),0)</f>
        <v>0</v>
      </c>
      <c r="O108" s="45">
        <v>0</v>
      </c>
      <c r="P108" s="45">
        <v>0</v>
      </c>
      <c r="Q108" s="45">
        <f t="shared" si="1"/>
        <v>0</v>
      </c>
      <c r="R108" s="45">
        <v>0</v>
      </c>
      <c r="S108" s="45">
        <v>0</v>
      </c>
      <c r="T108" s="45">
        <v>0</v>
      </c>
      <c r="U108" s="45">
        <f t="shared" si="2"/>
        <v>0</v>
      </c>
      <c r="V108" s="45">
        <f t="shared" si="3"/>
        <v>0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</row>
    <row r="109" spans="1:76" s="201" customFormat="1">
      <c r="A109" s="187">
        <v>97</v>
      </c>
      <c r="B109" s="203" t="s">
        <v>149</v>
      </c>
      <c r="C109" s="188" t="s">
        <v>150</v>
      </c>
      <c r="D109" s="209" t="s">
        <v>151</v>
      </c>
      <c r="E109" s="204" t="s">
        <v>448</v>
      </c>
      <c r="F109" s="205">
        <v>25870</v>
      </c>
      <c r="G109" s="188" t="s">
        <v>152</v>
      </c>
      <c r="H109" s="210">
        <f>65231</f>
        <v>65231</v>
      </c>
      <c r="I109" s="195">
        <v>0</v>
      </c>
      <c r="J109" s="195">
        <v>0</v>
      </c>
      <c r="K109" s="196">
        <v>45940</v>
      </c>
      <c r="L109" s="197">
        <f>2026/4</f>
        <v>506.5</v>
      </c>
      <c r="M109" s="198">
        <f t="shared" si="0"/>
        <v>65737.5</v>
      </c>
      <c r="N109" s="198">
        <f t="shared" si="22"/>
        <v>19347</v>
      </c>
      <c r="O109" s="199">
        <f>495</f>
        <v>495</v>
      </c>
      <c r="P109" s="198">
        <v>0</v>
      </c>
      <c r="Q109" s="198">
        <f t="shared" si="1"/>
        <v>953</v>
      </c>
      <c r="R109" s="119">
        <f>187</f>
        <v>187</v>
      </c>
      <c r="S109" s="198">
        <v>4801</v>
      </c>
      <c r="T109" s="198">
        <v>342</v>
      </c>
      <c r="U109" s="198">
        <f t="shared" si="2"/>
        <v>26125</v>
      </c>
      <c r="V109" s="198">
        <f t="shared" si="3"/>
        <v>91862.5</v>
      </c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</row>
    <row r="110" spans="1:76">
      <c r="A110" s="39">
        <v>98</v>
      </c>
      <c r="B110" s="71" t="s">
        <v>153</v>
      </c>
      <c r="C110" s="64" t="s">
        <v>150</v>
      </c>
      <c r="D110" s="77" t="s">
        <v>154</v>
      </c>
      <c r="E110" s="89" t="s">
        <v>448</v>
      </c>
      <c r="F110" s="107">
        <v>39941</v>
      </c>
      <c r="G110" s="64" t="s">
        <v>513</v>
      </c>
      <c r="H110" s="65">
        <v>43608</v>
      </c>
      <c r="I110" s="69">
        <v>0</v>
      </c>
      <c r="J110" s="69">
        <v>0</v>
      </c>
      <c r="K110" s="143">
        <v>46149</v>
      </c>
      <c r="L110" s="144">
        <f>577/4</f>
        <v>144.25</v>
      </c>
      <c r="M110" s="63">
        <f t="shared" si="0"/>
        <v>43752.25</v>
      </c>
      <c r="N110" s="63">
        <f t="shared" si="22"/>
        <v>12876</v>
      </c>
      <c r="O110" s="115">
        <f>495</f>
        <v>495</v>
      </c>
      <c r="P110" s="63">
        <v>0</v>
      </c>
      <c r="Q110" s="63">
        <f t="shared" si="1"/>
        <v>634</v>
      </c>
      <c r="R110" s="119">
        <f>187</f>
        <v>187</v>
      </c>
      <c r="S110" s="63">
        <v>8551</v>
      </c>
      <c r="T110" s="63">
        <v>342</v>
      </c>
      <c r="U110" s="63">
        <f t="shared" si="2"/>
        <v>23085</v>
      </c>
      <c r="V110" s="63">
        <f t="shared" si="3"/>
        <v>66837.25</v>
      </c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</row>
    <row r="111" spans="1:76">
      <c r="A111" s="39">
        <v>99</v>
      </c>
      <c r="B111" s="51" t="s">
        <v>155</v>
      </c>
      <c r="C111" s="46" t="s">
        <v>156</v>
      </c>
      <c r="D111" s="77" t="s">
        <v>157</v>
      </c>
      <c r="E111" s="89" t="s">
        <v>448</v>
      </c>
      <c r="F111" s="107">
        <v>43503</v>
      </c>
      <c r="G111" s="46" t="s">
        <v>158</v>
      </c>
      <c r="H111" s="65">
        <f>28269</f>
        <v>28269</v>
      </c>
      <c r="I111" s="69">
        <v>0</v>
      </c>
      <c r="J111" s="41">
        <v>0</v>
      </c>
      <c r="K111" s="145"/>
      <c r="L111" s="146">
        <v>0</v>
      </c>
      <c r="M111" s="45">
        <f t="shared" si="0"/>
        <v>28269</v>
      </c>
      <c r="N111" s="45">
        <f t="shared" si="22"/>
        <v>8320</v>
      </c>
      <c r="O111" s="43">
        <f>495</f>
        <v>495</v>
      </c>
      <c r="P111" s="45">
        <v>0</v>
      </c>
      <c r="Q111" s="45">
        <f t="shared" si="1"/>
        <v>410</v>
      </c>
      <c r="R111" s="121">
        <f>187</f>
        <v>187</v>
      </c>
      <c r="S111" s="45">
        <v>0</v>
      </c>
      <c r="T111" s="45">
        <v>0</v>
      </c>
      <c r="U111" s="45">
        <f t="shared" si="2"/>
        <v>9412</v>
      </c>
      <c r="V111" s="45">
        <f t="shared" si="3"/>
        <v>37681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</row>
    <row r="112" spans="1:76" ht="21.75">
      <c r="A112" s="39">
        <v>100</v>
      </c>
      <c r="B112" s="51" t="s">
        <v>159</v>
      </c>
      <c r="C112" s="46" t="s">
        <v>160</v>
      </c>
      <c r="D112" s="77" t="s">
        <v>161</v>
      </c>
      <c r="E112" s="89" t="s">
        <v>455</v>
      </c>
      <c r="F112" s="107">
        <v>44161</v>
      </c>
      <c r="G112" s="46" t="s">
        <v>158</v>
      </c>
      <c r="H112" s="65">
        <f>28269</f>
        <v>28269</v>
      </c>
      <c r="I112" s="69">
        <v>0</v>
      </c>
      <c r="J112" s="41">
        <v>0</v>
      </c>
      <c r="K112" s="145"/>
      <c r="L112" s="146">
        <v>0</v>
      </c>
      <c r="M112" s="45">
        <f t="shared" si="0"/>
        <v>28269</v>
      </c>
      <c r="N112" s="45">
        <f t="shared" si="22"/>
        <v>8320</v>
      </c>
      <c r="O112" s="43">
        <f>495</f>
        <v>495</v>
      </c>
      <c r="P112" s="45">
        <v>0</v>
      </c>
      <c r="Q112" s="45">
        <f t="shared" si="1"/>
        <v>410</v>
      </c>
      <c r="R112" s="121">
        <f>187</f>
        <v>187</v>
      </c>
      <c r="S112" s="45">
        <v>4801</v>
      </c>
      <c r="T112" s="45">
        <v>342</v>
      </c>
      <c r="U112" s="45">
        <f t="shared" si="2"/>
        <v>14555</v>
      </c>
      <c r="V112" s="45">
        <f t="shared" si="3"/>
        <v>42824</v>
      </c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</row>
    <row r="113" spans="1:76">
      <c r="A113" s="39">
        <v>101</v>
      </c>
      <c r="B113" s="51" t="s">
        <v>162</v>
      </c>
      <c r="C113" s="46" t="s">
        <v>163</v>
      </c>
      <c r="D113" s="77" t="s">
        <v>93</v>
      </c>
      <c r="E113" s="89"/>
      <c r="F113" s="107"/>
      <c r="G113" s="46" t="s">
        <v>164</v>
      </c>
      <c r="H113" s="65">
        <v>0</v>
      </c>
      <c r="I113" s="69">
        <v>0</v>
      </c>
      <c r="J113" s="41">
        <v>0</v>
      </c>
      <c r="K113" s="145"/>
      <c r="L113" s="146">
        <v>0</v>
      </c>
      <c r="M113" s="45">
        <f t="shared" si="0"/>
        <v>0</v>
      </c>
      <c r="N113" s="45">
        <f t="shared" si="22"/>
        <v>0</v>
      </c>
      <c r="O113" s="45">
        <v>0</v>
      </c>
      <c r="P113" s="45">
        <v>0</v>
      </c>
      <c r="Q113" s="45">
        <f t="shared" si="1"/>
        <v>0</v>
      </c>
      <c r="R113" s="45">
        <v>0</v>
      </c>
      <c r="S113" s="45">
        <v>0</v>
      </c>
      <c r="T113" s="45">
        <v>0</v>
      </c>
      <c r="U113" s="45">
        <f t="shared" si="2"/>
        <v>0</v>
      </c>
      <c r="V113" s="45">
        <f t="shared" si="3"/>
        <v>0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</row>
    <row r="114" spans="1:76">
      <c r="A114" s="39">
        <v>102</v>
      </c>
      <c r="B114" s="51" t="s">
        <v>165</v>
      </c>
      <c r="C114" s="46" t="s">
        <v>147</v>
      </c>
      <c r="D114" s="77" t="s">
        <v>93</v>
      </c>
      <c r="E114" s="89"/>
      <c r="F114" s="107"/>
      <c r="G114" s="46" t="s">
        <v>148</v>
      </c>
      <c r="H114" s="65">
        <v>0</v>
      </c>
      <c r="I114" s="69">
        <v>0</v>
      </c>
      <c r="J114" s="41">
        <v>0</v>
      </c>
      <c r="K114" s="145"/>
      <c r="L114" s="146">
        <v>0</v>
      </c>
      <c r="M114" s="45">
        <f t="shared" si="0"/>
        <v>0</v>
      </c>
      <c r="N114" s="45">
        <f t="shared" si="22"/>
        <v>0</v>
      </c>
      <c r="O114" s="45">
        <v>0</v>
      </c>
      <c r="P114" s="45">
        <v>0</v>
      </c>
      <c r="Q114" s="45">
        <f t="shared" si="1"/>
        <v>0</v>
      </c>
      <c r="R114" s="45">
        <v>0</v>
      </c>
      <c r="S114" s="45">
        <v>0</v>
      </c>
      <c r="T114" s="45">
        <v>0</v>
      </c>
      <c r="U114" s="45">
        <f t="shared" si="2"/>
        <v>0</v>
      </c>
      <c r="V114" s="45">
        <f t="shared" si="3"/>
        <v>0</v>
      </c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</row>
    <row r="115" spans="1:76">
      <c r="A115" s="39">
        <v>103</v>
      </c>
      <c r="B115" s="51" t="s">
        <v>166</v>
      </c>
      <c r="C115" s="46" t="s">
        <v>150</v>
      </c>
      <c r="D115" s="77" t="s">
        <v>262</v>
      </c>
      <c r="E115" s="89" t="s">
        <v>448</v>
      </c>
      <c r="F115" s="107">
        <v>41218</v>
      </c>
      <c r="G115" s="46" t="s">
        <v>512</v>
      </c>
      <c r="H115" s="65">
        <v>43608</v>
      </c>
      <c r="I115" s="69">
        <v>0</v>
      </c>
      <c r="J115" s="41">
        <v>0</v>
      </c>
      <c r="K115" s="145">
        <v>46083</v>
      </c>
      <c r="L115" s="146">
        <f>807/4</f>
        <v>201.75</v>
      </c>
      <c r="M115" s="45">
        <f t="shared" si="0"/>
        <v>43809.75</v>
      </c>
      <c r="N115" s="45">
        <f>ROUND((M115*0.2943),0)</f>
        <v>12893</v>
      </c>
      <c r="O115" s="43">
        <f>495</f>
        <v>495</v>
      </c>
      <c r="P115" s="45">
        <v>0</v>
      </c>
      <c r="Q115" s="45">
        <f t="shared" si="1"/>
        <v>635</v>
      </c>
      <c r="R115" s="121">
        <f>187</f>
        <v>187</v>
      </c>
      <c r="S115" s="45">
        <v>0</v>
      </c>
      <c r="T115" s="45">
        <v>486</v>
      </c>
      <c r="U115" s="45">
        <f t="shared" si="2"/>
        <v>14696</v>
      </c>
      <c r="V115" s="45">
        <f t="shared" si="3"/>
        <v>58505.75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</row>
    <row r="116" spans="1:76">
      <c r="A116" s="39">
        <v>104</v>
      </c>
      <c r="B116" s="51" t="s">
        <v>167</v>
      </c>
      <c r="C116" s="46" t="s">
        <v>168</v>
      </c>
      <c r="D116" s="77" t="s">
        <v>93</v>
      </c>
      <c r="E116" s="89"/>
      <c r="F116" s="107"/>
      <c r="G116" s="46" t="s">
        <v>169</v>
      </c>
      <c r="H116" s="65">
        <v>0</v>
      </c>
      <c r="I116" s="69">
        <v>0</v>
      </c>
      <c r="J116" s="41">
        <v>0</v>
      </c>
      <c r="K116" s="145"/>
      <c r="L116" s="146">
        <v>0</v>
      </c>
      <c r="M116" s="45">
        <f t="shared" si="0"/>
        <v>0</v>
      </c>
      <c r="N116" s="45">
        <f t="shared" si="22"/>
        <v>0</v>
      </c>
      <c r="O116" s="45">
        <v>0</v>
      </c>
      <c r="P116" s="45">
        <v>0</v>
      </c>
      <c r="Q116" s="45">
        <f t="shared" si="1"/>
        <v>0</v>
      </c>
      <c r="R116" s="45">
        <v>0</v>
      </c>
      <c r="S116" s="45">
        <v>0</v>
      </c>
      <c r="T116" s="45">
        <v>0</v>
      </c>
      <c r="U116" s="45">
        <f t="shared" si="2"/>
        <v>0</v>
      </c>
      <c r="V116" s="45">
        <f t="shared" si="3"/>
        <v>0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</row>
    <row r="117" spans="1:76">
      <c r="A117" s="39">
        <v>105</v>
      </c>
      <c r="B117" s="51" t="s">
        <v>170</v>
      </c>
      <c r="C117" s="46" t="s">
        <v>171</v>
      </c>
      <c r="D117" s="77" t="s">
        <v>93</v>
      </c>
      <c r="E117" s="89"/>
      <c r="F117" s="107"/>
      <c r="G117" s="46" t="s">
        <v>169</v>
      </c>
      <c r="H117" s="65">
        <v>0</v>
      </c>
      <c r="I117" s="69">
        <v>0</v>
      </c>
      <c r="J117" s="41">
        <v>0</v>
      </c>
      <c r="K117" s="145"/>
      <c r="L117" s="146">
        <v>0</v>
      </c>
      <c r="M117" s="45">
        <f t="shared" si="0"/>
        <v>0</v>
      </c>
      <c r="N117" s="45">
        <f t="shared" si="22"/>
        <v>0</v>
      </c>
      <c r="O117" s="45">
        <v>0</v>
      </c>
      <c r="P117" s="45">
        <v>0</v>
      </c>
      <c r="Q117" s="45">
        <f t="shared" si="1"/>
        <v>0</v>
      </c>
      <c r="R117" s="45">
        <v>0</v>
      </c>
      <c r="S117" s="45">
        <v>0</v>
      </c>
      <c r="T117" s="45">
        <v>0</v>
      </c>
      <c r="U117" s="45">
        <f t="shared" si="2"/>
        <v>0</v>
      </c>
      <c r="V117" s="45">
        <f t="shared" si="3"/>
        <v>0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</row>
    <row r="118" spans="1:76">
      <c r="A118" s="114">
        <v>106</v>
      </c>
      <c r="B118" s="59">
        <v>4014</v>
      </c>
      <c r="C118" s="64" t="s">
        <v>172</v>
      </c>
      <c r="D118" s="77" t="s">
        <v>180</v>
      </c>
      <c r="E118" s="89" t="s">
        <v>448</v>
      </c>
      <c r="F118" s="107">
        <v>42477</v>
      </c>
      <c r="G118" s="64" t="s">
        <v>173</v>
      </c>
      <c r="H118" s="65">
        <f>30169</f>
        <v>30169</v>
      </c>
      <c r="I118" s="69">
        <v>0</v>
      </c>
      <c r="J118" s="69">
        <v>0</v>
      </c>
      <c r="K118" s="143"/>
      <c r="L118" s="144">
        <v>0</v>
      </c>
      <c r="M118" s="63">
        <f t="shared" si="0"/>
        <v>30169</v>
      </c>
      <c r="N118" s="63">
        <f t="shared" si="22"/>
        <v>8879</v>
      </c>
      <c r="O118" s="115">
        <f>495</f>
        <v>495</v>
      </c>
      <c r="P118" s="63">
        <v>0</v>
      </c>
      <c r="Q118" s="63">
        <f t="shared" si="1"/>
        <v>437</v>
      </c>
      <c r="R118" s="119">
        <f>187</f>
        <v>187</v>
      </c>
      <c r="S118" s="63">
        <v>21918</v>
      </c>
      <c r="T118" s="63">
        <v>653</v>
      </c>
      <c r="U118" s="63">
        <f t="shared" si="2"/>
        <v>32569</v>
      </c>
      <c r="V118" s="63">
        <f t="shared" si="3"/>
        <v>62738</v>
      </c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</row>
    <row r="119" spans="1:76">
      <c r="A119" s="114">
        <v>107</v>
      </c>
      <c r="B119" s="71" t="s">
        <v>174</v>
      </c>
      <c r="C119" s="64" t="s">
        <v>175</v>
      </c>
      <c r="D119" s="77" t="s">
        <v>181</v>
      </c>
      <c r="E119" s="89" t="s">
        <v>448</v>
      </c>
      <c r="F119" s="107">
        <v>42877</v>
      </c>
      <c r="G119" s="64" t="s">
        <v>169</v>
      </c>
      <c r="H119" s="65">
        <f>25736</f>
        <v>25736</v>
      </c>
      <c r="I119" s="69">
        <v>0</v>
      </c>
      <c r="J119" s="69">
        <v>0</v>
      </c>
      <c r="K119" s="143"/>
      <c r="L119" s="144">
        <v>0</v>
      </c>
      <c r="M119" s="63">
        <f t="shared" si="0"/>
        <v>25736</v>
      </c>
      <c r="N119" s="63">
        <f t="shared" si="22"/>
        <v>7574</v>
      </c>
      <c r="O119" s="115">
        <f>495</f>
        <v>495</v>
      </c>
      <c r="P119" s="63">
        <v>0</v>
      </c>
      <c r="Q119" s="63">
        <f t="shared" si="1"/>
        <v>373</v>
      </c>
      <c r="R119" s="119">
        <f>187</f>
        <v>187</v>
      </c>
      <c r="S119" s="63">
        <v>0</v>
      </c>
      <c r="T119" s="63">
        <v>342</v>
      </c>
      <c r="U119" s="63">
        <f t="shared" si="2"/>
        <v>8971</v>
      </c>
      <c r="V119" s="63">
        <f t="shared" si="3"/>
        <v>34707</v>
      </c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</row>
    <row r="120" spans="1:76">
      <c r="A120" s="114">
        <v>108</v>
      </c>
      <c r="B120" s="71" t="s">
        <v>176</v>
      </c>
      <c r="C120" s="64" t="s">
        <v>175</v>
      </c>
      <c r="D120" s="77" t="s">
        <v>182</v>
      </c>
      <c r="E120" s="89" t="s">
        <v>448</v>
      </c>
      <c r="F120" s="107">
        <v>42352</v>
      </c>
      <c r="G120" s="64" t="s">
        <v>169</v>
      </c>
      <c r="H120" s="65">
        <f>25736</f>
        <v>25736</v>
      </c>
      <c r="I120" s="69">
        <v>0</v>
      </c>
      <c r="J120" s="69">
        <v>0</v>
      </c>
      <c r="K120" s="143"/>
      <c r="L120" s="144">
        <v>0</v>
      </c>
      <c r="M120" s="63">
        <f t="shared" si="0"/>
        <v>25736</v>
      </c>
      <c r="N120" s="63">
        <f t="shared" si="22"/>
        <v>7574</v>
      </c>
      <c r="O120" s="115">
        <f>495</f>
        <v>495</v>
      </c>
      <c r="P120" s="63">
        <v>0</v>
      </c>
      <c r="Q120" s="63">
        <f t="shared" si="1"/>
        <v>373</v>
      </c>
      <c r="R120" s="119">
        <f>187</f>
        <v>187</v>
      </c>
      <c r="S120" s="63">
        <v>0</v>
      </c>
      <c r="T120" s="63">
        <v>342</v>
      </c>
      <c r="U120" s="63">
        <f t="shared" si="2"/>
        <v>8971</v>
      </c>
      <c r="V120" s="63">
        <f t="shared" si="3"/>
        <v>34707</v>
      </c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</row>
    <row r="121" spans="1:76">
      <c r="A121" s="39">
        <v>109</v>
      </c>
      <c r="B121" s="51" t="s">
        <v>177</v>
      </c>
      <c r="C121" s="46" t="s">
        <v>175</v>
      </c>
      <c r="D121" s="77" t="s">
        <v>93</v>
      </c>
      <c r="E121" s="89"/>
      <c r="F121" s="107"/>
      <c r="G121" s="46" t="s">
        <v>169</v>
      </c>
      <c r="H121" s="65">
        <v>0</v>
      </c>
      <c r="I121" s="69">
        <v>0</v>
      </c>
      <c r="J121" s="41">
        <v>0</v>
      </c>
      <c r="K121" s="145"/>
      <c r="L121" s="146">
        <v>0</v>
      </c>
      <c r="M121" s="45">
        <f t="shared" si="0"/>
        <v>0</v>
      </c>
      <c r="N121" s="45">
        <f t="shared" si="22"/>
        <v>0</v>
      </c>
      <c r="O121" s="45">
        <v>0</v>
      </c>
      <c r="P121" s="45">
        <v>0</v>
      </c>
      <c r="Q121" s="45">
        <f t="shared" si="1"/>
        <v>0</v>
      </c>
      <c r="R121" s="45">
        <v>0</v>
      </c>
      <c r="S121" s="45">
        <v>0</v>
      </c>
      <c r="T121" s="45">
        <v>0</v>
      </c>
      <c r="U121" s="45">
        <f t="shared" si="2"/>
        <v>0</v>
      </c>
      <c r="V121" s="45">
        <f t="shared" si="3"/>
        <v>0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</row>
    <row r="122" spans="1:76">
      <c r="A122" s="114">
        <v>110</v>
      </c>
      <c r="B122" s="71" t="s">
        <v>178</v>
      </c>
      <c r="C122" s="64" t="s">
        <v>175</v>
      </c>
      <c r="D122" s="77" t="s">
        <v>183</v>
      </c>
      <c r="E122" s="89" t="s">
        <v>448</v>
      </c>
      <c r="F122" s="107">
        <v>42986</v>
      </c>
      <c r="G122" s="64" t="s">
        <v>169</v>
      </c>
      <c r="H122" s="65">
        <f>25736</f>
        <v>25736</v>
      </c>
      <c r="I122" s="69">
        <v>0</v>
      </c>
      <c r="J122" s="69">
        <v>0</v>
      </c>
      <c r="K122" s="143"/>
      <c r="L122" s="144">
        <v>0</v>
      </c>
      <c r="M122" s="63">
        <f t="shared" si="0"/>
        <v>25736</v>
      </c>
      <c r="N122" s="63">
        <f t="shared" si="22"/>
        <v>7574</v>
      </c>
      <c r="O122" s="115">
        <f>495</f>
        <v>495</v>
      </c>
      <c r="P122" s="63">
        <v>0</v>
      </c>
      <c r="Q122" s="63">
        <f t="shared" si="1"/>
        <v>373</v>
      </c>
      <c r="R122" s="119">
        <f>187</f>
        <v>187</v>
      </c>
      <c r="S122" s="63">
        <v>4801</v>
      </c>
      <c r="T122" s="63">
        <v>342</v>
      </c>
      <c r="U122" s="63">
        <f t="shared" si="2"/>
        <v>13772</v>
      </c>
      <c r="V122" s="63">
        <f t="shared" si="3"/>
        <v>39508</v>
      </c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</row>
    <row r="123" spans="1:76">
      <c r="A123" s="39">
        <v>111</v>
      </c>
      <c r="B123" s="71" t="s">
        <v>179</v>
      </c>
      <c r="C123" s="64" t="s">
        <v>175</v>
      </c>
      <c r="D123" s="77" t="s">
        <v>93</v>
      </c>
      <c r="E123" s="89"/>
      <c r="F123" s="107"/>
      <c r="G123" s="64" t="s">
        <v>169</v>
      </c>
      <c r="H123" s="65">
        <v>0</v>
      </c>
      <c r="I123" s="69">
        <v>0</v>
      </c>
      <c r="J123" s="69">
        <v>0</v>
      </c>
      <c r="K123" s="143"/>
      <c r="L123" s="144">
        <v>0</v>
      </c>
      <c r="M123" s="63">
        <f t="shared" si="0"/>
        <v>0</v>
      </c>
      <c r="N123" s="63">
        <f t="shared" si="22"/>
        <v>0</v>
      </c>
      <c r="O123" s="63">
        <v>0</v>
      </c>
      <c r="P123" s="63">
        <v>0</v>
      </c>
      <c r="Q123" s="63">
        <f t="shared" si="1"/>
        <v>0</v>
      </c>
      <c r="R123" s="63">
        <v>0</v>
      </c>
      <c r="S123" s="63">
        <v>0</v>
      </c>
      <c r="T123" s="63">
        <v>0</v>
      </c>
      <c r="U123" s="63">
        <f t="shared" si="2"/>
        <v>0</v>
      </c>
      <c r="V123" s="63">
        <f t="shared" si="3"/>
        <v>0</v>
      </c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</row>
    <row r="124" spans="1:76">
      <c r="A124" s="114">
        <v>112</v>
      </c>
      <c r="B124" s="59">
        <v>5000</v>
      </c>
      <c r="C124" s="64" t="s">
        <v>184</v>
      </c>
      <c r="D124" s="77" t="s">
        <v>185</v>
      </c>
      <c r="E124" s="89" t="s">
        <v>448</v>
      </c>
      <c r="F124" s="107">
        <v>42569</v>
      </c>
      <c r="G124" s="64" t="s">
        <v>519</v>
      </c>
      <c r="H124" s="65">
        <v>95162</v>
      </c>
      <c r="I124" s="69">
        <v>0</v>
      </c>
      <c r="J124" s="69">
        <v>0</v>
      </c>
      <c r="K124" s="143">
        <v>45675</v>
      </c>
      <c r="L124" s="144">
        <f>2195/4</f>
        <v>548.75</v>
      </c>
      <c r="M124" s="63">
        <f t="shared" si="0"/>
        <v>95710.75</v>
      </c>
      <c r="N124" s="63">
        <f>ROUND((M124*0.2943),0)</f>
        <v>28168</v>
      </c>
      <c r="O124" s="115">
        <f>495</f>
        <v>495</v>
      </c>
      <c r="P124" s="63">
        <v>0</v>
      </c>
      <c r="Q124" s="63">
        <f t="shared" si="1"/>
        <v>1388</v>
      </c>
      <c r="R124" s="119">
        <f>187</f>
        <v>187</v>
      </c>
      <c r="S124" s="63">
        <v>11192</v>
      </c>
      <c r="T124" s="63">
        <v>653</v>
      </c>
      <c r="U124" s="63">
        <f t="shared" si="2"/>
        <v>42083</v>
      </c>
      <c r="V124" s="63">
        <f t="shared" si="3"/>
        <v>137793.75</v>
      </c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</row>
    <row r="125" spans="1:76">
      <c r="A125" s="114">
        <v>113</v>
      </c>
      <c r="B125" s="71" t="s">
        <v>186</v>
      </c>
      <c r="C125" s="64" t="s">
        <v>96</v>
      </c>
      <c r="D125" s="77" t="s">
        <v>187</v>
      </c>
      <c r="E125" s="89" t="s">
        <v>448</v>
      </c>
      <c r="F125" s="107">
        <v>44101</v>
      </c>
      <c r="G125" s="64" t="s">
        <v>511</v>
      </c>
      <c r="H125" s="65">
        <v>36173</v>
      </c>
      <c r="I125" s="69">
        <v>0</v>
      </c>
      <c r="J125" s="69">
        <v>0</v>
      </c>
      <c r="K125" s="143">
        <v>45885</v>
      </c>
      <c r="L125" s="144">
        <f>229/4</f>
        <v>57.25</v>
      </c>
      <c r="M125" s="63">
        <f t="shared" si="0"/>
        <v>36230.25</v>
      </c>
      <c r="N125" s="63">
        <f>ROUND((M125*0.2943),0)</f>
        <v>10663</v>
      </c>
      <c r="O125" s="115">
        <f>495</f>
        <v>495</v>
      </c>
      <c r="P125" s="63">
        <v>0</v>
      </c>
      <c r="Q125" s="63">
        <f t="shared" si="1"/>
        <v>525</v>
      </c>
      <c r="R125" s="119">
        <f>187</f>
        <v>187</v>
      </c>
      <c r="S125" s="63">
        <v>8310</v>
      </c>
      <c r="T125" s="63">
        <v>486</v>
      </c>
      <c r="U125" s="63">
        <f t="shared" si="2"/>
        <v>20666</v>
      </c>
      <c r="V125" s="63">
        <f t="shared" si="3"/>
        <v>56896.25</v>
      </c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</row>
    <row r="126" spans="1:76">
      <c r="A126" s="114">
        <v>114</v>
      </c>
      <c r="B126" s="71" t="s">
        <v>188</v>
      </c>
      <c r="C126" s="64" t="s">
        <v>189</v>
      </c>
      <c r="D126" s="77" t="s">
        <v>190</v>
      </c>
      <c r="E126" s="89" t="s">
        <v>448</v>
      </c>
      <c r="F126" s="107">
        <v>42925</v>
      </c>
      <c r="G126" s="64" t="s">
        <v>494</v>
      </c>
      <c r="H126" s="65">
        <v>36209</v>
      </c>
      <c r="I126" s="69">
        <v>0</v>
      </c>
      <c r="J126" s="69">
        <v>0</v>
      </c>
      <c r="K126" s="143">
        <v>45745</v>
      </c>
      <c r="L126" s="144">
        <f>800/4</f>
        <v>200</v>
      </c>
      <c r="M126" s="63">
        <f t="shared" si="0"/>
        <v>36409</v>
      </c>
      <c r="N126" s="63">
        <f>ROUND((M126*0.2943),0)</f>
        <v>10715</v>
      </c>
      <c r="O126" s="115">
        <f>495</f>
        <v>495</v>
      </c>
      <c r="P126" s="63">
        <v>0</v>
      </c>
      <c r="Q126" s="63">
        <f t="shared" si="1"/>
        <v>528</v>
      </c>
      <c r="R126" s="119">
        <f>187</f>
        <v>187</v>
      </c>
      <c r="S126" s="63">
        <v>8551</v>
      </c>
      <c r="T126" s="63">
        <v>342</v>
      </c>
      <c r="U126" s="63">
        <f t="shared" si="2"/>
        <v>20818</v>
      </c>
      <c r="V126" s="63">
        <f t="shared" si="3"/>
        <v>57227</v>
      </c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</row>
    <row r="127" spans="1:76">
      <c r="A127" s="114">
        <v>115</v>
      </c>
      <c r="B127" s="71" t="s">
        <v>191</v>
      </c>
      <c r="C127" s="64" t="s">
        <v>96</v>
      </c>
      <c r="D127" s="77" t="s">
        <v>491</v>
      </c>
      <c r="E127" s="89" t="s">
        <v>448</v>
      </c>
      <c r="F127" s="107">
        <v>44643</v>
      </c>
      <c r="G127" s="64" t="s">
        <v>79</v>
      </c>
      <c r="H127" s="65">
        <v>32355</v>
      </c>
      <c r="I127" s="69">
        <v>0</v>
      </c>
      <c r="J127" s="69">
        <v>0</v>
      </c>
      <c r="K127" s="143"/>
      <c r="L127" s="144">
        <v>0</v>
      </c>
      <c r="M127" s="63">
        <f t="shared" si="0"/>
        <v>32355</v>
      </c>
      <c r="N127" s="63">
        <f t="shared" ref="N127:N168" si="23">ROUND((M127*0.2943),0)</f>
        <v>9522</v>
      </c>
      <c r="O127" s="115">
        <f>495</f>
        <v>495</v>
      </c>
      <c r="P127" s="63">
        <v>0</v>
      </c>
      <c r="Q127" s="63">
        <f t="shared" si="1"/>
        <v>469</v>
      </c>
      <c r="R127" s="119">
        <f>187</f>
        <v>187</v>
      </c>
      <c r="S127" s="63">
        <v>6921</v>
      </c>
      <c r="T127" s="63">
        <v>653</v>
      </c>
      <c r="U127" s="63">
        <f t="shared" si="2"/>
        <v>18247</v>
      </c>
      <c r="V127" s="63">
        <f t="shared" si="3"/>
        <v>50602</v>
      </c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</row>
    <row r="128" spans="1:76">
      <c r="A128" s="114">
        <v>116</v>
      </c>
      <c r="B128" s="59">
        <v>6000</v>
      </c>
      <c r="C128" s="64" t="s">
        <v>192</v>
      </c>
      <c r="D128" s="77" t="s">
        <v>193</v>
      </c>
      <c r="E128" s="89" t="s">
        <v>448</v>
      </c>
      <c r="F128" s="107">
        <v>39055</v>
      </c>
      <c r="G128" s="64" t="s">
        <v>72</v>
      </c>
      <c r="H128" s="65">
        <f>75392</f>
        <v>75392</v>
      </c>
      <c r="I128" s="69">
        <v>0</v>
      </c>
      <c r="J128" s="69">
        <v>0</v>
      </c>
      <c r="K128" s="143">
        <v>45903</v>
      </c>
      <c r="L128" s="144">
        <f>199/4</f>
        <v>49.75</v>
      </c>
      <c r="M128" s="63">
        <f t="shared" si="0"/>
        <v>75441.75</v>
      </c>
      <c r="N128" s="63">
        <f t="shared" si="23"/>
        <v>22203</v>
      </c>
      <c r="O128" s="63">
        <v>0</v>
      </c>
      <c r="P128" s="63">
        <v>0</v>
      </c>
      <c r="Q128" s="63">
        <f t="shared" si="1"/>
        <v>1094</v>
      </c>
      <c r="R128" s="119">
        <f>187</f>
        <v>187</v>
      </c>
      <c r="S128" s="63">
        <v>8551</v>
      </c>
      <c r="T128" s="63">
        <v>342</v>
      </c>
      <c r="U128" s="63">
        <f t="shared" si="2"/>
        <v>32377</v>
      </c>
      <c r="V128" s="63">
        <f t="shared" si="3"/>
        <v>107818.75</v>
      </c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</row>
    <row r="129" spans="1:76">
      <c r="A129" s="114">
        <v>117</v>
      </c>
      <c r="B129" s="71" t="s">
        <v>194</v>
      </c>
      <c r="C129" s="64" t="s">
        <v>464</v>
      </c>
      <c r="D129" s="77" t="s">
        <v>195</v>
      </c>
      <c r="E129" s="89" t="s">
        <v>448</v>
      </c>
      <c r="F129" s="107">
        <v>34827</v>
      </c>
      <c r="G129" s="64" t="s">
        <v>196</v>
      </c>
      <c r="H129" s="65">
        <f>66142</f>
        <v>66142</v>
      </c>
      <c r="I129" s="69">
        <v>0</v>
      </c>
      <c r="J129" s="69">
        <v>0</v>
      </c>
      <c r="K129" s="143">
        <v>45990</v>
      </c>
      <c r="L129" s="144">
        <f>1923/4</f>
        <v>480.75</v>
      </c>
      <c r="M129" s="63">
        <f t="shared" si="0"/>
        <v>66622.75</v>
      </c>
      <c r="N129" s="63">
        <f t="shared" si="23"/>
        <v>19607</v>
      </c>
      <c r="O129" s="115">
        <f>495</f>
        <v>495</v>
      </c>
      <c r="P129" s="63">
        <v>0</v>
      </c>
      <c r="Q129" s="63">
        <f t="shared" si="1"/>
        <v>966</v>
      </c>
      <c r="R129" s="119">
        <f>187</f>
        <v>187</v>
      </c>
      <c r="S129" s="63">
        <v>8551</v>
      </c>
      <c r="T129" s="63">
        <v>342</v>
      </c>
      <c r="U129" s="63">
        <f t="shared" si="2"/>
        <v>30148</v>
      </c>
      <c r="V129" s="63">
        <f t="shared" si="3"/>
        <v>96770.75</v>
      </c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</row>
    <row r="130" spans="1:76">
      <c r="A130" s="39">
        <v>118</v>
      </c>
      <c r="B130" s="51" t="s">
        <v>197</v>
      </c>
      <c r="C130" s="46" t="s">
        <v>222</v>
      </c>
      <c r="D130" s="77" t="s">
        <v>93</v>
      </c>
      <c r="E130" s="89" t="s">
        <v>448</v>
      </c>
      <c r="F130" s="107"/>
      <c r="G130" s="46" t="s">
        <v>79</v>
      </c>
      <c r="H130" s="65">
        <v>0</v>
      </c>
      <c r="I130" s="69">
        <v>0</v>
      </c>
      <c r="J130" s="41">
        <v>0</v>
      </c>
      <c r="K130" s="145"/>
      <c r="L130" s="146">
        <v>0</v>
      </c>
      <c r="M130" s="45">
        <f t="shared" si="0"/>
        <v>0</v>
      </c>
      <c r="N130" s="45">
        <f t="shared" si="23"/>
        <v>0</v>
      </c>
      <c r="O130" s="45">
        <v>0</v>
      </c>
      <c r="P130" s="45">
        <v>0</v>
      </c>
      <c r="Q130" s="45">
        <f t="shared" si="1"/>
        <v>0</v>
      </c>
      <c r="R130" s="45">
        <v>0</v>
      </c>
      <c r="S130" s="45">
        <v>0</v>
      </c>
      <c r="T130" s="45">
        <v>0</v>
      </c>
      <c r="U130" s="45">
        <f t="shared" si="2"/>
        <v>0</v>
      </c>
      <c r="V130" s="45">
        <f t="shared" si="3"/>
        <v>0</v>
      </c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</row>
    <row r="131" spans="1:76">
      <c r="A131" s="114">
        <v>119</v>
      </c>
      <c r="B131" s="71" t="s">
        <v>199</v>
      </c>
      <c r="C131" s="64" t="s">
        <v>510</v>
      </c>
      <c r="D131" s="77" t="s">
        <v>198</v>
      </c>
      <c r="E131" s="89" t="s">
        <v>448</v>
      </c>
      <c r="F131" s="107">
        <v>42821</v>
      </c>
      <c r="G131" s="64" t="s">
        <v>231</v>
      </c>
      <c r="H131" s="65">
        <v>39349</v>
      </c>
      <c r="I131" s="69">
        <v>0</v>
      </c>
      <c r="J131" s="69">
        <v>0</v>
      </c>
      <c r="K131" s="143">
        <v>45951</v>
      </c>
      <c r="L131" s="144">
        <f>1492/4</f>
        <v>373</v>
      </c>
      <c r="M131" s="63">
        <f t="shared" si="0"/>
        <v>39722</v>
      </c>
      <c r="N131" s="63">
        <f t="shared" si="23"/>
        <v>11690</v>
      </c>
      <c r="O131" s="115">
        <f>495</f>
        <v>495</v>
      </c>
      <c r="P131" s="63">
        <v>0</v>
      </c>
      <c r="Q131" s="63">
        <f t="shared" si="1"/>
        <v>576</v>
      </c>
      <c r="R131" s="119">
        <f>187</f>
        <v>187</v>
      </c>
      <c r="S131" s="63">
        <v>8551</v>
      </c>
      <c r="T131" s="63">
        <v>342</v>
      </c>
      <c r="U131" s="63">
        <f t="shared" si="2"/>
        <v>21841</v>
      </c>
      <c r="V131" s="63">
        <f t="shared" si="3"/>
        <v>61563</v>
      </c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</row>
    <row r="132" spans="1:76">
      <c r="A132" s="114">
        <v>120</v>
      </c>
      <c r="B132" s="71" t="s">
        <v>200</v>
      </c>
      <c r="C132" s="64" t="s">
        <v>201</v>
      </c>
      <c r="D132" s="77" t="s">
        <v>202</v>
      </c>
      <c r="E132" s="89" t="s">
        <v>448</v>
      </c>
      <c r="F132" s="107">
        <v>40448</v>
      </c>
      <c r="G132" s="64" t="s">
        <v>203</v>
      </c>
      <c r="H132" s="65">
        <f>34244</f>
        <v>34244</v>
      </c>
      <c r="I132" s="69">
        <v>0</v>
      </c>
      <c r="J132" s="69">
        <v>0</v>
      </c>
      <c r="K132" s="143">
        <v>45378</v>
      </c>
      <c r="L132" s="144">
        <f>634/4</f>
        <v>158.5</v>
      </c>
      <c r="M132" s="63">
        <f t="shared" si="0"/>
        <v>34402.5</v>
      </c>
      <c r="N132" s="63">
        <f t="shared" si="23"/>
        <v>10125</v>
      </c>
      <c r="O132" s="115">
        <f>495</f>
        <v>495</v>
      </c>
      <c r="P132" s="63">
        <v>0</v>
      </c>
      <c r="Q132" s="63">
        <f t="shared" si="1"/>
        <v>499</v>
      </c>
      <c r="R132" s="119">
        <f>187</f>
        <v>187</v>
      </c>
      <c r="S132" s="63">
        <v>8551</v>
      </c>
      <c r="T132" s="63">
        <v>342</v>
      </c>
      <c r="U132" s="63">
        <f t="shared" si="2"/>
        <v>20199</v>
      </c>
      <c r="V132" s="63">
        <f t="shared" si="3"/>
        <v>54601.5</v>
      </c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</row>
    <row r="133" spans="1:76">
      <c r="A133" s="114">
        <v>121</v>
      </c>
      <c r="B133" s="71" t="s">
        <v>204</v>
      </c>
      <c r="C133" s="64" t="s">
        <v>201</v>
      </c>
      <c r="D133" s="77" t="s">
        <v>93</v>
      </c>
      <c r="E133" s="89"/>
      <c r="F133" s="107"/>
      <c r="G133" s="64" t="s">
        <v>169</v>
      </c>
      <c r="H133" s="65">
        <v>0</v>
      </c>
      <c r="I133" s="69">
        <v>0</v>
      </c>
      <c r="J133" s="69">
        <v>0</v>
      </c>
      <c r="K133" s="143"/>
      <c r="L133" s="144">
        <v>0</v>
      </c>
      <c r="M133" s="63">
        <f t="shared" si="0"/>
        <v>0</v>
      </c>
      <c r="N133" s="63">
        <f t="shared" si="23"/>
        <v>0</v>
      </c>
      <c r="O133" s="63">
        <v>0</v>
      </c>
      <c r="P133" s="63">
        <v>0</v>
      </c>
      <c r="Q133" s="63">
        <f t="shared" si="1"/>
        <v>0</v>
      </c>
      <c r="R133" s="63">
        <v>0</v>
      </c>
      <c r="S133" s="63">
        <v>0</v>
      </c>
      <c r="T133" s="63">
        <v>0</v>
      </c>
      <c r="U133" s="63">
        <f t="shared" si="2"/>
        <v>0</v>
      </c>
      <c r="V133" s="63">
        <f t="shared" si="3"/>
        <v>0</v>
      </c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</row>
    <row r="134" spans="1:76">
      <c r="A134" s="114">
        <v>122</v>
      </c>
      <c r="B134" s="71" t="s">
        <v>205</v>
      </c>
      <c r="C134" s="64" t="s">
        <v>206</v>
      </c>
      <c r="D134" s="77" t="s">
        <v>93</v>
      </c>
      <c r="E134" s="89"/>
      <c r="F134" s="107"/>
      <c r="G134" s="64" t="s">
        <v>144</v>
      </c>
      <c r="H134" s="65">
        <v>0</v>
      </c>
      <c r="I134" s="69">
        <v>0</v>
      </c>
      <c r="J134" s="69">
        <v>0</v>
      </c>
      <c r="K134" s="143"/>
      <c r="L134" s="144">
        <v>0</v>
      </c>
      <c r="M134" s="63">
        <f t="shared" si="0"/>
        <v>0</v>
      </c>
      <c r="N134" s="63">
        <f t="shared" si="23"/>
        <v>0</v>
      </c>
      <c r="O134" s="63">
        <v>0</v>
      </c>
      <c r="P134" s="63">
        <v>0</v>
      </c>
      <c r="Q134" s="63">
        <f t="shared" si="1"/>
        <v>0</v>
      </c>
      <c r="R134" s="63">
        <v>0</v>
      </c>
      <c r="S134" s="63">
        <v>0</v>
      </c>
      <c r="T134" s="63">
        <v>0</v>
      </c>
      <c r="U134" s="63">
        <f t="shared" si="2"/>
        <v>0</v>
      </c>
      <c r="V134" s="63">
        <f t="shared" si="3"/>
        <v>0</v>
      </c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</row>
    <row r="135" spans="1:76">
      <c r="A135" s="114">
        <v>123</v>
      </c>
      <c r="B135" s="71" t="s">
        <v>207</v>
      </c>
      <c r="C135" s="64" t="s">
        <v>208</v>
      </c>
      <c r="D135" s="77" t="s">
        <v>93</v>
      </c>
      <c r="E135" s="89"/>
      <c r="F135" s="107"/>
      <c r="G135" s="64" t="s">
        <v>158</v>
      </c>
      <c r="H135" s="65">
        <v>0</v>
      </c>
      <c r="I135" s="69">
        <v>0</v>
      </c>
      <c r="J135" s="69">
        <v>0</v>
      </c>
      <c r="K135" s="143"/>
      <c r="L135" s="144">
        <v>0</v>
      </c>
      <c r="M135" s="63">
        <f t="shared" si="0"/>
        <v>0</v>
      </c>
      <c r="N135" s="63">
        <f t="shared" si="23"/>
        <v>0</v>
      </c>
      <c r="O135" s="63">
        <v>0</v>
      </c>
      <c r="P135" s="63">
        <v>0</v>
      </c>
      <c r="Q135" s="63">
        <f t="shared" si="1"/>
        <v>0</v>
      </c>
      <c r="R135" s="63">
        <v>0</v>
      </c>
      <c r="S135" s="63">
        <v>0</v>
      </c>
      <c r="T135" s="63">
        <v>0</v>
      </c>
      <c r="U135" s="63">
        <f t="shared" si="2"/>
        <v>0</v>
      </c>
      <c r="V135" s="63">
        <f t="shared" si="3"/>
        <v>0</v>
      </c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</row>
    <row r="136" spans="1:76">
      <c r="A136" s="114">
        <v>124</v>
      </c>
      <c r="B136" s="71" t="s">
        <v>209</v>
      </c>
      <c r="C136" s="64" t="s">
        <v>210</v>
      </c>
      <c r="D136" s="77" t="s">
        <v>263</v>
      </c>
      <c r="E136" s="89" t="s">
        <v>448</v>
      </c>
      <c r="F136" s="107">
        <v>35205</v>
      </c>
      <c r="G136" s="64" t="s">
        <v>87</v>
      </c>
      <c r="H136" s="65">
        <f>77783</f>
        <v>77783</v>
      </c>
      <c r="I136" s="69">
        <v>0</v>
      </c>
      <c r="J136" s="69">
        <v>0</v>
      </c>
      <c r="K136" s="143">
        <v>45949</v>
      </c>
      <c r="L136" s="144">
        <f>2468/4</f>
        <v>617</v>
      </c>
      <c r="M136" s="63">
        <f t="shared" si="0"/>
        <v>78400</v>
      </c>
      <c r="N136" s="63">
        <f t="shared" si="23"/>
        <v>23073</v>
      </c>
      <c r="O136" s="115">
        <f>495</f>
        <v>495</v>
      </c>
      <c r="P136" s="63">
        <v>0</v>
      </c>
      <c r="Q136" s="63">
        <f t="shared" si="1"/>
        <v>1137</v>
      </c>
      <c r="R136" s="119">
        <f>187</f>
        <v>187</v>
      </c>
      <c r="S136" s="63">
        <v>8551</v>
      </c>
      <c r="T136" s="63">
        <v>342</v>
      </c>
      <c r="U136" s="63">
        <f t="shared" si="2"/>
        <v>33785</v>
      </c>
      <c r="V136" s="63">
        <f t="shared" si="3"/>
        <v>112185</v>
      </c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</row>
    <row r="137" spans="1:76">
      <c r="A137" s="39">
        <v>125</v>
      </c>
      <c r="B137" s="51" t="s">
        <v>211</v>
      </c>
      <c r="C137" s="46" t="s">
        <v>212</v>
      </c>
      <c r="D137" s="77" t="s">
        <v>93</v>
      </c>
      <c r="E137" s="89"/>
      <c r="F137" s="107"/>
      <c r="G137" s="46" t="s">
        <v>144</v>
      </c>
      <c r="H137" s="65">
        <v>0</v>
      </c>
      <c r="I137" s="69">
        <v>0</v>
      </c>
      <c r="J137" s="41">
        <v>0</v>
      </c>
      <c r="K137" s="145"/>
      <c r="L137" s="146">
        <v>0</v>
      </c>
      <c r="M137" s="45">
        <f t="shared" si="0"/>
        <v>0</v>
      </c>
      <c r="N137" s="45">
        <f t="shared" si="23"/>
        <v>0</v>
      </c>
      <c r="O137" s="45">
        <v>0</v>
      </c>
      <c r="P137" s="45">
        <v>0</v>
      </c>
      <c r="Q137" s="45">
        <f t="shared" si="1"/>
        <v>0</v>
      </c>
      <c r="R137" s="45">
        <v>0</v>
      </c>
      <c r="S137" s="45">
        <v>0</v>
      </c>
      <c r="T137" s="45">
        <v>0</v>
      </c>
      <c r="U137" s="45">
        <f t="shared" si="2"/>
        <v>0</v>
      </c>
      <c r="V137" s="45">
        <f t="shared" si="3"/>
        <v>0</v>
      </c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</row>
    <row r="138" spans="1:76">
      <c r="A138" s="114">
        <v>126</v>
      </c>
      <c r="B138" s="71" t="s">
        <v>213</v>
      </c>
      <c r="C138" s="64" t="s">
        <v>215</v>
      </c>
      <c r="D138" s="77" t="s">
        <v>508</v>
      </c>
      <c r="E138" s="89" t="s">
        <v>450</v>
      </c>
      <c r="F138" s="107">
        <v>42735</v>
      </c>
      <c r="G138" s="64" t="s">
        <v>506</v>
      </c>
      <c r="H138" s="65">
        <v>42940</v>
      </c>
      <c r="I138" s="69">
        <v>0</v>
      </c>
      <c r="J138" s="69">
        <v>0</v>
      </c>
      <c r="K138" s="143">
        <v>46009</v>
      </c>
      <c r="L138" s="144">
        <f>1356/4</f>
        <v>339</v>
      </c>
      <c r="M138" s="63">
        <f>(+H138+I138+J138+L138)</f>
        <v>43279</v>
      </c>
      <c r="N138" s="63">
        <f t="shared" si="23"/>
        <v>12737</v>
      </c>
      <c r="O138" s="115">
        <f>495</f>
        <v>495</v>
      </c>
      <c r="P138" s="63">
        <v>0</v>
      </c>
      <c r="Q138" s="63">
        <f t="shared" si="1"/>
        <v>628</v>
      </c>
      <c r="R138" s="119">
        <f>187</f>
        <v>187</v>
      </c>
      <c r="S138" s="63">
        <v>11192</v>
      </c>
      <c r="T138" s="63">
        <v>653</v>
      </c>
      <c r="U138" s="63">
        <f t="shared" si="2"/>
        <v>25892</v>
      </c>
      <c r="V138" s="63">
        <f t="shared" si="3"/>
        <v>69171</v>
      </c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</row>
    <row r="139" spans="1:76">
      <c r="A139" s="114">
        <v>127</v>
      </c>
      <c r="B139" s="71" t="s">
        <v>214</v>
      </c>
      <c r="C139" s="64" t="s">
        <v>215</v>
      </c>
      <c r="D139" s="66" t="s">
        <v>509</v>
      </c>
      <c r="E139" s="89" t="s">
        <v>450</v>
      </c>
      <c r="F139" s="107">
        <v>44930</v>
      </c>
      <c r="G139" s="64" t="s">
        <v>94</v>
      </c>
      <c r="H139" s="65">
        <f>41372</f>
        <v>41372</v>
      </c>
      <c r="I139" s="69">
        <v>0</v>
      </c>
      <c r="J139" s="69">
        <v>0</v>
      </c>
      <c r="K139" s="143">
        <v>46021</v>
      </c>
      <c r="L139" s="144">
        <f>1307/4</f>
        <v>326.75</v>
      </c>
      <c r="M139" s="63">
        <f t="shared" si="0"/>
        <v>41698.75</v>
      </c>
      <c r="N139" s="63">
        <f t="shared" si="23"/>
        <v>12272</v>
      </c>
      <c r="O139" s="115">
        <f>495</f>
        <v>495</v>
      </c>
      <c r="P139" s="63">
        <v>0</v>
      </c>
      <c r="Q139" s="63">
        <f t="shared" si="1"/>
        <v>605</v>
      </c>
      <c r="R139" s="119">
        <f>187</f>
        <v>187</v>
      </c>
      <c r="S139" s="63">
        <v>0</v>
      </c>
      <c r="T139" s="63">
        <v>0</v>
      </c>
      <c r="U139" s="63">
        <f t="shared" si="2"/>
        <v>13559</v>
      </c>
      <c r="V139" s="63">
        <f t="shared" si="3"/>
        <v>55257.75</v>
      </c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</row>
    <row r="140" spans="1:76">
      <c r="A140" s="114">
        <v>128</v>
      </c>
      <c r="B140" s="71" t="s">
        <v>216</v>
      </c>
      <c r="C140" s="64" t="s">
        <v>212</v>
      </c>
      <c r="D140" s="77" t="s">
        <v>217</v>
      </c>
      <c r="E140" s="89" t="s">
        <v>448</v>
      </c>
      <c r="F140" s="107">
        <v>43787</v>
      </c>
      <c r="G140" s="64" t="s">
        <v>507</v>
      </c>
      <c r="H140" s="65">
        <v>42388</v>
      </c>
      <c r="I140" s="69">
        <v>0</v>
      </c>
      <c r="J140" s="69">
        <v>0</v>
      </c>
      <c r="K140" s="143">
        <v>45885</v>
      </c>
      <c r="L140" s="144">
        <f>268/4</f>
        <v>67</v>
      </c>
      <c r="M140" s="63">
        <f t="shared" si="0"/>
        <v>42455</v>
      </c>
      <c r="N140" s="63">
        <f t="shared" si="23"/>
        <v>12495</v>
      </c>
      <c r="O140" s="115">
        <f>495</f>
        <v>495</v>
      </c>
      <c r="P140" s="63">
        <v>0</v>
      </c>
      <c r="Q140" s="63">
        <f t="shared" si="1"/>
        <v>616</v>
      </c>
      <c r="R140" s="119">
        <f>187</f>
        <v>187</v>
      </c>
      <c r="S140" s="63">
        <v>21918</v>
      </c>
      <c r="T140" s="63">
        <v>653</v>
      </c>
      <c r="U140" s="63">
        <f t="shared" si="2"/>
        <v>36364</v>
      </c>
      <c r="V140" s="63">
        <f t="shared" si="3"/>
        <v>78819</v>
      </c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</row>
    <row r="141" spans="1:76">
      <c r="A141" s="114">
        <v>129</v>
      </c>
      <c r="B141" s="71" t="s">
        <v>218</v>
      </c>
      <c r="C141" s="64" t="s">
        <v>212</v>
      </c>
      <c r="D141" s="77" t="s">
        <v>219</v>
      </c>
      <c r="E141" s="89" t="s">
        <v>448</v>
      </c>
      <c r="F141" s="107">
        <v>38261</v>
      </c>
      <c r="G141" s="64" t="s">
        <v>116</v>
      </c>
      <c r="H141" s="65">
        <v>48894</v>
      </c>
      <c r="I141" s="69">
        <v>0</v>
      </c>
      <c r="J141" s="69">
        <v>0</v>
      </c>
      <c r="K141" s="143">
        <v>46111</v>
      </c>
      <c r="L141" s="144">
        <f>905/4</f>
        <v>226.25</v>
      </c>
      <c r="M141" s="63">
        <f t="shared" si="0"/>
        <v>49120.25</v>
      </c>
      <c r="N141" s="63">
        <f t="shared" si="23"/>
        <v>14456</v>
      </c>
      <c r="O141" s="115">
        <f>495</f>
        <v>495</v>
      </c>
      <c r="P141" s="63">
        <v>0</v>
      </c>
      <c r="Q141" s="63">
        <f t="shared" si="1"/>
        <v>712</v>
      </c>
      <c r="R141" s="119">
        <f>187</f>
        <v>187</v>
      </c>
      <c r="S141" s="63">
        <v>11192</v>
      </c>
      <c r="T141" s="63">
        <v>653</v>
      </c>
      <c r="U141" s="63">
        <f t="shared" si="2"/>
        <v>27695</v>
      </c>
      <c r="V141" s="63">
        <f t="shared" si="3"/>
        <v>76815.25</v>
      </c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</row>
    <row r="142" spans="1:76">
      <c r="A142" s="39">
        <v>130</v>
      </c>
      <c r="B142" s="51" t="s">
        <v>221</v>
      </c>
      <c r="C142" s="46" t="s">
        <v>222</v>
      </c>
      <c r="D142" s="81" t="s">
        <v>93</v>
      </c>
      <c r="E142" s="89"/>
      <c r="F142" s="107"/>
      <c r="G142" s="46" t="s">
        <v>79</v>
      </c>
      <c r="H142" s="65">
        <v>0</v>
      </c>
      <c r="I142" s="69">
        <v>0</v>
      </c>
      <c r="J142" s="41">
        <v>0</v>
      </c>
      <c r="K142" s="145"/>
      <c r="L142" s="146">
        <v>0</v>
      </c>
      <c r="M142" s="45">
        <f t="shared" si="0"/>
        <v>0</v>
      </c>
      <c r="N142" s="45">
        <f t="shared" si="23"/>
        <v>0</v>
      </c>
      <c r="O142" s="45">
        <v>0</v>
      </c>
      <c r="P142" s="45">
        <v>0</v>
      </c>
      <c r="Q142" s="45">
        <f t="shared" si="1"/>
        <v>0</v>
      </c>
      <c r="R142" s="45">
        <v>0</v>
      </c>
      <c r="S142" s="45">
        <v>0</v>
      </c>
      <c r="T142" s="45">
        <v>0</v>
      </c>
      <c r="U142" s="45">
        <f t="shared" si="2"/>
        <v>0</v>
      </c>
      <c r="V142" s="45">
        <f t="shared" si="3"/>
        <v>0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</row>
    <row r="143" spans="1:76">
      <c r="A143" s="39">
        <v>131</v>
      </c>
      <c r="B143" s="51" t="s">
        <v>223</v>
      </c>
      <c r="C143" s="46" t="s">
        <v>222</v>
      </c>
      <c r="D143" s="81" t="s">
        <v>93</v>
      </c>
      <c r="E143" s="89"/>
      <c r="F143" s="107"/>
      <c r="G143" s="46" t="s">
        <v>79</v>
      </c>
      <c r="H143" s="65">
        <v>0</v>
      </c>
      <c r="I143" s="69">
        <v>0</v>
      </c>
      <c r="J143" s="41">
        <v>0</v>
      </c>
      <c r="K143" s="145"/>
      <c r="L143" s="146">
        <v>0</v>
      </c>
      <c r="M143" s="45">
        <f t="shared" si="0"/>
        <v>0</v>
      </c>
      <c r="N143" s="45">
        <f t="shared" si="23"/>
        <v>0</v>
      </c>
      <c r="O143" s="45">
        <v>0</v>
      </c>
      <c r="P143" s="45">
        <v>0</v>
      </c>
      <c r="Q143" s="45">
        <f t="shared" si="1"/>
        <v>0</v>
      </c>
      <c r="R143" s="45">
        <v>0</v>
      </c>
      <c r="S143" s="45">
        <v>0</v>
      </c>
      <c r="T143" s="45">
        <v>0</v>
      </c>
      <c r="U143" s="45">
        <f t="shared" si="2"/>
        <v>0</v>
      </c>
      <c r="V143" s="45">
        <f t="shared" si="3"/>
        <v>0</v>
      </c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</row>
    <row r="144" spans="1:76">
      <c r="A144" s="39">
        <v>132</v>
      </c>
      <c r="B144" s="51" t="s">
        <v>224</v>
      </c>
      <c r="C144" s="46" t="s">
        <v>222</v>
      </c>
      <c r="D144" s="81" t="s">
        <v>93</v>
      </c>
      <c r="E144" s="89"/>
      <c r="F144" s="107"/>
      <c r="G144" s="46" t="s">
        <v>79</v>
      </c>
      <c r="H144" s="65">
        <v>0</v>
      </c>
      <c r="I144" s="69">
        <v>0</v>
      </c>
      <c r="J144" s="41">
        <v>0</v>
      </c>
      <c r="K144" s="145"/>
      <c r="L144" s="146">
        <v>0</v>
      </c>
      <c r="M144" s="45">
        <f t="shared" si="0"/>
        <v>0</v>
      </c>
      <c r="N144" s="45">
        <f t="shared" si="23"/>
        <v>0</v>
      </c>
      <c r="O144" s="45">
        <v>0</v>
      </c>
      <c r="P144" s="45">
        <v>0</v>
      </c>
      <c r="Q144" s="45">
        <f t="shared" si="1"/>
        <v>0</v>
      </c>
      <c r="R144" s="45">
        <v>0</v>
      </c>
      <c r="S144" s="45">
        <v>0</v>
      </c>
      <c r="T144" s="45">
        <v>0</v>
      </c>
      <c r="U144" s="45">
        <f t="shared" si="2"/>
        <v>0</v>
      </c>
      <c r="V144" s="45">
        <f t="shared" si="3"/>
        <v>0</v>
      </c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</row>
    <row r="145" spans="1:76">
      <c r="A145" s="39">
        <v>133</v>
      </c>
      <c r="B145" s="51" t="s">
        <v>225</v>
      </c>
      <c r="C145" s="46" t="s">
        <v>222</v>
      </c>
      <c r="D145" s="81" t="s">
        <v>93</v>
      </c>
      <c r="E145" s="89"/>
      <c r="F145" s="107"/>
      <c r="G145" s="46" t="s">
        <v>79</v>
      </c>
      <c r="H145" s="65">
        <v>0</v>
      </c>
      <c r="I145" s="69">
        <v>0</v>
      </c>
      <c r="J145" s="41">
        <v>0</v>
      </c>
      <c r="K145" s="145"/>
      <c r="L145" s="146">
        <v>0</v>
      </c>
      <c r="M145" s="45">
        <f t="shared" si="0"/>
        <v>0</v>
      </c>
      <c r="N145" s="45">
        <f t="shared" si="23"/>
        <v>0</v>
      </c>
      <c r="O145" s="45">
        <v>0</v>
      </c>
      <c r="P145" s="45">
        <v>0</v>
      </c>
      <c r="Q145" s="45">
        <f t="shared" si="1"/>
        <v>0</v>
      </c>
      <c r="R145" s="45">
        <v>0</v>
      </c>
      <c r="S145" s="45">
        <v>0</v>
      </c>
      <c r="T145" s="45">
        <v>0</v>
      </c>
      <c r="U145" s="45">
        <f t="shared" si="2"/>
        <v>0</v>
      </c>
      <c r="V145" s="45">
        <f t="shared" si="3"/>
        <v>0</v>
      </c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</row>
    <row r="146" spans="1:76">
      <c r="A146" s="39">
        <v>134</v>
      </c>
      <c r="B146" s="51" t="s">
        <v>226</v>
      </c>
      <c r="C146" s="46" t="s">
        <v>289</v>
      </c>
      <c r="D146" s="77" t="s">
        <v>259</v>
      </c>
      <c r="E146" s="89" t="s">
        <v>450</v>
      </c>
      <c r="F146" s="107">
        <v>45159</v>
      </c>
      <c r="G146" s="46" t="s">
        <v>227</v>
      </c>
      <c r="H146" s="65">
        <f>21678</f>
        <v>21678</v>
      </c>
      <c r="I146" s="69">
        <v>0</v>
      </c>
      <c r="J146" s="41">
        <v>0</v>
      </c>
      <c r="K146" s="145"/>
      <c r="L146" s="146">
        <v>0</v>
      </c>
      <c r="M146" s="45">
        <f t="shared" si="0"/>
        <v>21678</v>
      </c>
      <c r="N146" s="45">
        <f t="shared" si="23"/>
        <v>6380</v>
      </c>
      <c r="O146" s="43">
        <f>495</f>
        <v>495</v>
      </c>
      <c r="P146" s="45">
        <v>0</v>
      </c>
      <c r="Q146" s="45">
        <f t="shared" si="1"/>
        <v>314</v>
      </c>
      <c r="R146" s="121">
        <f>187</f>
        <v>187</v>
      </c>
      <c r="S146" s="45">
        <v>0</v>
      </c>
      <c r="T146" s="45">
        <v>0</v>
      </c>
      <c r="U146" s="45">
        <f t="shared" si="2"/>
        <v>7376</v>
      </c>
      <c r="V146" s="45">
        <f t="shared" si="3"/>
        <v>29054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</row>
    <row r="147" spans="1:76">
      <c r="A147" s="114">
        <v>135</v>
      </c>
      <c r="B147" s="71" t="s">
        <v>228</v>
      </c>
      <c r="C147" s="64" t="s">
        <v>229</v>
      </c>
      <c r="D147" s="81" t="s">
        <v>415</v>
      </c>
      <c r="E147" s="89" t="s">
        <v>450</v>
      </c>
      <c r="F147" s="107">
        <v>44249</v>
      </c>
      <c r="G147" s="64" t="s">
        <v>94</v>
      </c>
      <c r="H147" s="65">
        <f>41372</f>
        <v>41372</v>
      </c>
      <c r="I147" s="69">
        <v>0</v>
      </c>
      <c r="J147" s="69">
        <v>0</v>
      </c>
      <c r="K147" s="143">
        <v>45769</v>
      </c>
      <c r="L147" s="144">
        <f>784/4</f>
        <v>196</v>
      </c>
      <c r="M147" s="63">
        <f t="shared" si="0"/>
        <v>41568</v>
      </c>
      <c r="N147" s="63">
        <f t="shared" si="23"/>
        <v>12233</v>
      </c>
      <c r="O147" s="115">
        <f>495</f>
        <v>495</v>
      </c>
      <c r="P147" s="63">
        <v>0</v>
      </c>
      <c r="Q147" s="63">
        <f t="shared" si="1"/>
        <v>603</v>
      </c>
      <c r="R147" s="119">
        <f>187</f>
        <v>187</v>
      </c>
      <c r="S147" s="63">
        <v>4801</v>
      </c>
      <c r="T147" s="63">
        <v>342</v>
      </c>
      <c r="U147" s="63">
        <f t="shared" si="2"/>
        <v>18661</v>
      </c>
      <c r="V147" s="63">
        <f t="shared" si="3"/>
        <v>60229</v>
      </c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</row>
    <row r="148" spans="1:76">
      <c r="A148" s="114">
        <v>136</v>
      </c>
      <c r="B148" s="71" t="s">
        <v>230</v>
      </c>
      <c r="C148" s="64" t="s">
        <v>212</v>
      </c>
      <c r="D148" s="77" t="s">
        <v>465</v>
      </c>
      <c r="E148" s="89" t="s">
        <v>448</v>
      </c>
      <c r="F148" s="107">
        <v>43678</v>
      </c>
      <c r="G148" s="64" t="s">
        <v>507</v>
      </c>
      <c r="H148" s="65">
        <v>42388</v>
      </c>
      <c r="I148" s="69">
        <v>0</v>
      </c>
      <c r="J148" s="69">
        <v>0</v>
      </c>
      <c r="K148" s="143">
        <v>45702</v>
      </c>
      <c r="L148" s="144">
        <f>1071/4</f>
        <v>267.75</v>
      </c>
      <c r="M148" s="63">
        <f t="shared" si="0"/>
        <v>42655.75</v>
      </c>
      <c r="N148" s="63">
        <f t="shared" si="23"/>
        <v>12554</v>
      </c>
      <c r="O148" s="115">
        <f>495</f>
        <v>495</v>
      </c>
      <c r="P148" s="63">
        <v>0</v>
      </c>
      <c r="Q148" s="63">
        <f t="shared" si="1"/>
        <v>619</v>
      </c>
      <c r="R148" s="119">
        <f>187</f>
        <v>187</v>
      </c>
      <c r="S148" s="63">
        <v>21918</v>
      </c>
      <c r="T148" s="63">
        <v>653</v>
      </c>
      <c r="U148" s="63">
        <f t="shared" si="2"/>
        <v>36426</v>
      </c>
      <c r="V148" s="63">
        <f t="shared" si="3"/>
        <v>79081.75</v>
      </c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</row>
    <row r="149" spans="1:76">
      <c r="A149" s="114">
        <v>137</v>
      </c>
      <c r="B149" s="71" t="s">
        <v>232</v>
      </c>
      <c r="C149" s="64" t="s">
        <v>215</v>
      </c>
      <c r="D149" s="77" t="s">
        <v>233</v>
      </c>
      <c r="E149" s="89" t="s">
        <v>448</v>
      </c>
      <c r="F149" s="107">
        <v>44459</v>
      </c>
      <c r="G149" s="64" t="s">
        <v>506</v>
      </c>
      <c r="H149" s="65">
        <v>41372</v>
      </c>
      <c r="I149" s="69">
        <v>0</v>
      </c>
      <c r="J149" s="69">
        <v>0</v>
      </c>
      <c r="K149" s="143">
        <v>45675</v>
      </c>
      <c r="L149" s="144">
        <f>1176/4</f>
        <v>294</v>
      </c>
      <c r="M149" s="63">
        <f t="shared" si="0"/>
        <v>41666</v>
      </c>
      <c r="N149" s="63">
        <f t="shared" si="23"/>
        <v>12262</v>
      </c>
      <c r="O149" s="115">
        <f>495</f>
        <v>495</v>
      </c>
      <c r="P149" s="63">
        <v>0</v>
      </c>
      <c r="Q149" s="63">
        <f t="shared" si="1"/>
        <v>604</v>
      </c>
      <c r="R149" s="119">
        <f>187</f>
        <v>187</v>
      </c>
      <c r="S149" s="63">
        <v>0</v>
      </c>
      <c r="T149" s="63">
        <v>0</v>
      </c>
      <c r="U149" s="63">
        <f t="shared" si="2"/>
        <v>13548</v>
      </c>
      <c r="V149" s="63">
        <f t="shared" si="3"/>
        <v>55214</v>
      </c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</row>
    <row r="150" spans="1:76">
      <c r="A150" s="114">
        <v>138</v>
      </c>
      <c r="B150" s="71" t="s">
        <v>234</v>
      </c>
      <c r="C150" s="64" t="s">
        <v>235</v>
      </c>
      <c r="D150" s="77" t="s">
        <v>524</v>
      </c>
      <c r="E150" s="89" t="s">
        <v>450</v>
      </c>
      <c r="F150" s="107"/>
      <c r="G150" s="64" t="s">
        <v>144</v>
      </c>
      <c r="H150" s="65">
        <f>37913</f>
        <v>37913</v>
      </c>
      <c r="I150" s="69">
        <v>0</v>
      </c>
      <c r="J150" s="69">
        <v>0</v>
      </c>
      <c r="K150" s="143"/>
      <c r="L150" s="144">
        <v>0</v>
      </c>
      <c r="M150" s="63">
        <f t="shared" si="0"/>
        <v>37913</v>
      </c>
      <c r="N150" s="63">
        <f t="shared" si="23"/>
        <v>11158</v>
      </c>
      <c r="O150" s="63">
        <v>0</v>
      </c>
      <c r="P150" s="63">
        <v>0</v>
      </c>
      <c r="Q150" s="63">
        <f t="shared" si="1"/>
        <v>550</v>
      </c>
      <c r="R150" s="119">
        <f>187</f>
        <v>187</v>
      </c>
      <c r="S150" s="63">
        <v>8310</v>
      </c>
      <c r="T150" s="63">
        <v>486</v>
      </c>
      <c r="U150" s="63">
        <f t="shared" si="2"/>
        <v>20691</v>
      </c>
      <c r="V150" s="63">
        <f t="shared" si="3"/>
        <v>58604</v>
      </c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</row>
    <row r="151" spans="1:76">
      <c r="A151" s="39">
        <v>139</v>
      </c>
      <c r="B151" s="51" t="s">
        <v>236</v>
      </c>
      <c r="C151" s="46" t="s">
        <v>237</v>
      </c>
      <c r="D151" s="77" t="s">
        <v>93</v>
      </c>
      <c r="E151" s="89"/>
      <c r="F151" s="107"/>
      <c r="G151" s="46" t="s">
        <v>69</v>
      </c>
      <c r="H151" s="65">
        <v>0</v>
      </c>
      <c r="I151" s="69">
        <v>0</v>
      </c>
      <c r="J151" s="41">
        <v>0</v>
      </c>
      <c r="K151" s="145"/>
      <c r="L151" s="146">
        <v>0</v>
      </c>
      <c r="M151" s="45">
        <f t="shared" si="0"/>
        <v>0</v>
      </c>
      <c r="N151" s="45">
        <f t="shared" si="23"/>
        <v>0</v>
      </c>
      <c r="O151" s="45">
        <v>0</v>
      </c>
      <c r="P151" s="45">
        <v>0</v>
      </c>
      <c r="Q151" s="45">
        <f t="shared" si="1"/>
        <v>0</v>
      </c>
      <c r="R151" s="45">
        <v>0</v>
      </c>
      <c r="S151" s="45">
        <v>0</v>
      </c>
      <c r="T151" s="45">
        <v>0</v>
      </c>
      <c r="U151" s="45">
        <f t="shared" si="2"/>
        <v>0</v>
      </c>
      <c r="V151" s="45">
        <f t="shared" si="3"/>
        <v>0</v>
      </c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</row>
    <row r="152" spans="1:76">
      <c r="A152" s="39">
        <v>140</v>
      </c>
      <c r="B152" s="51" t="s">
        <v>238</v>
      </c>
      <c r="C152" s="46" t="s">
        <v>133</v>
      </c>
      <c r="D152" s="77" t="s">
        <v>93</v>
      </c>
      <c r="E152" s="89"/>
      <c r="F152" s="107"/>
      <c r="G152" s="46" t="s">
        <v>79</v>
      </c>
      <c r="H152" s="65">
        <v>0</v>
      </c>
      <c r="I152" s="69">
        <v>0</v>
      </c>
      <c r="J152" s="41">
        <v>0</v>
      </c>
      <c r="K152" s="145"/>
      <c r="L152" s="146">
        <v>0</v>
      </c>
      <c r="M152" s="45">
        <f t="shared" si="0"/>
        <v>0</v>
      </c>
      <c r="N152" s="45">
        <f t="shared" si="23"/>
        <v>0</v>
      </c>
      <c r="O152" s="45">
        <v>0</v>
      </c>
      <c r="P152" s="45">
        <v>0</v>
      </c>
      <c r="Q152" s="45">
        <f t="shared" si="1"/>
        <v>0</v>
      </c>
      <c r="R152" s="45">
        <v>0</v>
      </c>
      <c r="S152" s="45">
        <v>0</v>
      </c>
      <c r="T152" s="45">
        <v>0</v>
      </c>
      <c r="U152" s="45">
        <f t="shared" si="2"/>
        <v>0</v>
      </c>
      <c r="V152" s="45">
        <f t="shared" si="3"/>
        <v>0</v>
      </c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</row>
    <row r="153" spans="1:76">
      <c r="A153" s="39">
        <v>141</v>
      </c>
      <c r="B153" s="51" t="s">
        <v>239</v>
      </c>
      <c r="C153" s="46" t="s">
        <v>240</v>
      </c>
      <c r="D153" s="77" t="s">
        <v>93</v>
      </c>
      <c r="E153" s="89"/>
      <c r="F153" s="107"/>
      <c r="G153" s="46" t="s">
        <v>79</v>
      </c>
      <c r="H153" s="65">
        <v>0</v>
      </c>
      <c r="I153" s="69">
        <v>0</v>
      </c>
      <c r="J153" s="41">
        <v>0</v>
      </c>
      <c r="K153" s="145"/>
      <c r="L153" s="146">
        <v>0</v>
      </c>
      <c r="M153" s="45">
        <f t="shared" si="0"/>
        <v>0</v>
      </c>
      <c r="N153" s="45">
        <f t="shared" si="23"/>
        <v>0</v>
      </c>
      <c r="O153" s="45">
        <v>0</v>
      </c>
      <c r="P153" s="45">
        <v>0</v>
      </c>
      <c r="Q153" s="45">
        <f t="shared" si="1"/>
        <v>0</v>
      </c>
      <c r="R153" s="45">
        <v>0</v>
      </c>
      <c r="S153" s="45">
        <v>0</v>
      </c>
      <c r="T153" s="45">
        <v>0</v>
      </c>
      <c r="U153" s="45">
        <f t="shared" si="2"/>
        <v>0</v>
      </c>
      <c r="V153" s="45">
        <f t="shared" si="3"/>
        <v>0</v>
      </c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</row>
    <row r="154" spans="1:76">
      <c r="A154" s="39">
        <v>142</v>
      </c>
      <c r="B154" s="39" t="s">
        <v>241</v>
      </c>
      <c r="C154" s="52" t="s">
        <v>235</v>
      </c>
      <c r="D154" s="80" t="s">
        <v>93</v>
      </c>
      <c r="E154" s="89"/>
      <c r="F154" s="107"/>
      <c r="G154" s="52" t="s">
        <v>144</v>
      </c>
      <c r="H154" s="61">
        <v>0</v>
      </c>
      <c r="I154" s="69">
        <v>0</v>
      </c>
      <c r="J154" s="41">
        <v>0</v>
      </c>
      <c r="K154" s="145"/>
      <c r="L154" s="146">
        <v>0</v>
      </c>
      <c r="M154" s="45">
        <f t="shared" si="0"/>
        <v>0</v>
      </c>
      <c r="N154" s="45">
        <f t="shared" si="23"/>
        <v>0</v>
      </c>
      <c r="O154" s="45">
        <v>0</v>
      </c>
      <c r="P154" s="45">
        <v>0</v>
      </c>
      <c r="Q154" s="45">
        <f t="shared" si="1"/>
        <v>0</v>
      </c>
      <c r="R154" s="45">
        <v>0</v>
      </c>
      <c r="S154" s="45">
        <v>0</v>
      </c>
      <c r="T154" s="45">
        <v>0</v>
      </c>
      <c r="U154" s="45">
        <f t="shared" si="2"/>
        <v>0</v>
      </c>
      <c r="V154" s="45">
        <f t="shared" si="3"/>
        <v>0</v>
      </c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</row>
    <row r="155" spans="1:76">
      <c r="A155" s="39">
        <v>143</v>
      </c>
      <c r="B155" s="39" t="s">
        <v>242</v>
      </c>
      <c r="C155" s="52" t="s">
        <v>235</v>
      </c>
      <c r="D155" s="80" t="s">
        <v>260</v>
      </c>
      <c r="E155" s="89" t="s">
        <v>450</v>
      </c>
      <c r="F155" s="107">
        <v>42752</v>
      </c>
      <c r="G155" s="52" t="s">
        <v>144</v>
      </c>
      <c r="H155" s="61">
        <f>37913</f>
        <v>37913</v>
      </c>
      <c r="I155" s="69">
        <v>0</v>
      </c>
      <c r="J155" s="41">
        <v>0</v>
      </c>
      <c r="K155" s="145"/>
      <c r="L155" s="146">
        <v>0</v>
      </c>
      <c r="M155" s="45">
        <f t="shared" si="0"/>
        <v>37913</v>
      </c>
      <c r="N155" s="45">
        <f t="shared" si="23"/>
        <v>11158</v>
      </c>
      <c r="O155" s="45">
        <v>0</v>
      </c>
      <c r="P155" s="45">
        <v>0</v>
      </c>
      <c r="Q155" s="45">
        <f t="shared" si="1"/>
        <v>550</v>
      </c>
      <c r="R155" s="121">
        <f>187</f>
        <v>187</v>
      </c>
      <c r="S155" s="45">
        <v>0</v>
      </c>
      <c r="T155" s="45">
        <v>0</v>
      </c>
      <c r="U155" s="45">
        <f t="shared" si="2"/>
        <v>11895</v>
      </c>
      <c r="V155" s="45">
        <f t="shared" si="3"/>
        <v>49808</v>
      </c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</row>
    <row r="156" spans="1:76">
      <c r="A156" s="39">
        <v>144</v>
      </c>
      <c r="B156" s="39" t="s">
        <v>243</v>
      </c>
      <c r="C156" s="147" t="s">
        <v>133</v>
      </c>
      <c r="D156" s="80" t="s">
        <v>261</v>
      </c>
      <c r="E156" s="89"/>
      <c r="F156" s="107"/>
      <c r="G156" s="52" t="s">
        <v>79</v>
      </c>
      <c r="H156" s="61">
        <v>0</v>
      </c>
      <c r="I156" s="69">
        <v>0</v>
      </c>
      <c r="J156" s="41">
        <v>0</v>
      </c>
      <c r="K156" s="145"/>
      <c r="L156" s="146">
        <v>0</v>
      </c>
      <c r="M156" s="45">
        <f t="shared" si="0"/>
        <v>0</v>
      </c>
      <c r="N156" s="45">
        <f t="shared" si="23"/>
        <v>0</v>
      </c>
      <c r="O156" s="45">
        <v>0</v>
      </c>
      <c r="P156" s="45">
        <v>0</v>
      </c>
      <c r="Q156" s="45">
        <f t="shared" si="1"/>
        <v>0</v>
      </c>
      <c r="R156" s="45">
        <v>0</v>
      </c>
      <c r="S156" s="45">
        <v>0</v>
      </c>
      <c r="T156" s="45">
        <v>0</v>
      </c>
      <c r="U156" s="45">
        <f t="shared" si="2"/>
        <v>0</v>
      </c>
      <c r="V156" s="45">
        <f t="shared" si="3"/>
        <v>0</v>
      </c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</row>
    <row r="157" spans="1:76">
      <c r="A157" s="39">
        <v>145</v>
      </c>
      <c r="B157" s="39" t="s">
        <v>244</v>
      </c>
      <c r="C157" s="52" t="s">
        <v>245</v>
      </c>
      <c r="D157" s="80" t="s">
        <v>261</v>
      </c>
      <c r="E157" s="89"/>
      <c r="F157" s="107"/>
      <c r="G157" s="52" t="s">
        <v>246</v>
      </c>
      <c r="H157" s="61">
        <v>0</v>
      </c>
      <c r="I157" s="69">
        <v>0</v>
      </c>
      <c r="J157" s="41">
        <v>0</v>
      </c>
      <c r="K157" s="145"/>
      <c r="L157" s="146">
        <v>0</v>
      </c>
      <c r="M157" s="45">
        <f t="shared" si="0"/>
        <v>0</v>
      </c>
      <c r="N157" s="45">
        <f t="shared" si="23"/>
        <v>0</v>
      </c>
      <c r="O157" s="45">
        <v>0</v>
      </c>
      <c r="P157" s="45">
        <v>0</v>
      </c>
      <c r="Q157" s="45">
        <f t="shared" si="1"/>
        <v>0</v>
      </c>
      <c r="R157" s="45">
        <v>0</v>
      </c>
      <c r="S157" s="45">
        <v>0</v>
      </c>
      <c r="T157" s="45">
        <v>0</v>
      </c>
      <c r="U157" s="45">
        <f t="shared" si="2"/>
        <v>0</v>
      </c>
      <c r="V157" s="45">
        <f t="shared" si="3"/>
        <v>0</v>
      </c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</row>
    <row r="158" spans="1:76">
      <c r="A158" s="39">
        <v>146</v>
      </c>
      <c r="B158" s="39" t="s">
        <v>247</v>
      </c>
      <c r="C158" s="52" t="s">
        <v>248</v>
      </c>
      <c r="D158" s="80" t="s">
        <v>261</v>
      </c>
      <c r="E158" s="89"/>
      <c r="F158" s="107"/>
      <c r="G158" s="52" t="s">
        <v>144</v>
      </c>
      <c r="H158" s="61">
        <v>0</v>
      </c>
      <c r="I158" s="69">
        <v>0</v>
      </c>
      <c r="J158" s="41">
        <v>0</v>
      </c>
      <c r="K158" s="145"/>
      <c r="L158" s="146">
        <v>0</v>
      </c>
      <c r="M158" s="45">
        <f t="shared" si="0"/>
        <v>0</v>
      </c>
      <c r="N158" s="45">
        <f t="shared" si="23"/>
        <v>0</v>
      </c>
      <c r="O158" s="45">
        <v>0</v>
      </c>
      <c r="P158" s="45">
        <v>0</v>
      </c>
      <c r="Q158" s="45">
        <f t="shared" si="1"/>
        <v>0</v>
      </c>
      <c r="R158" s="45">
        <v>0</v>
      </c>
      <c r="S158" s="45">
        <v>0</v>
      </c>
      <c r="T158" s="45">
        <v>0</v>
      </c>
      <c r="U158" s="45">
        <f t="shared" si="2"/>
        <v>0</v>
      </c>
      <c r="V158" s="45">
        <f t="shared" si="3"/>
        <v>0</v>
      </c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</row>
    <row r="159" spans="1:76">
      <c r="A159" s="39">
        <v>147</v>
      </c>
      <c r="B159" s="39" t="s">
        <v>249</v>
      </c>
      <c r="C159" s="52" t="s">
        <v>250</v>
      </c>
      <c r="D159" s="80" t="s">
        <v>93</v>
      </c>
      <c r="E159" s="89"/>
      <c r="F159" s="107"/>
      <c r="G159" s="52" t="s">
        <v>79</v>
      </c>
      <c r="H159" s="61">
        <v>0</v>
      </c>
      <c r="I159" s="69">
        <v>0</v>
      </c>
      <c r="J159" s="41">
        <v>0</v>
      </c>
      <c r="K159" s="145"/>
      <c r="L159" s="146">
        <v>0</v>
      </c>
      <c r="M159" s="45">
        <f t="shared" si="0"/>
        <v>0</v>
      </c>
      <c r="N159" s="45">
        <f t="shared" si="23"/>
        <v>0</v>
      </c>
      <c r="O159" s="45">
        <v>0</v>
      </c>
      <c r="P159" s="45">
        <v>0</v>
      </c>
      <c r="Q159" s="45">
        <f t="shared" si="1"/>
        <v>0</v>
      </c>
      <c r="R159" s="45">
        <v>0</v>
      </c>
      <c r="S159" s="45">
        <v>0</v>
      </c>
      <c r="T159" s="45">
        <v>0</v>
      </c>
      <c r="U159" s="45">
        <f t="shared" si="2"/>
        <v>0</v>
      </c>
      <c r="V159" s="45">
        <f t="shared" si="3"/>
        <v>0</v>
      </c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</row>
    <row r="160" spans="1:76">
      <c r="A160" s="114">
        <v>148</v>
      </c>
      <c r="B160" s="114" t="s">
        <v>251</v>
      </c>
      <c r="C160" s="76" t="s">
        <v>252</v>
      </c>
      <c r="D160" s="81" t="s">
        <v>253</v>
      </c>
      <c r="E160" s="129" t="s">
        <v>448</v>
      </c>
      <c r="F160" s="126">
        <v>42443</v>
      </c>
      <c r="G160" s="76" t="s">
        <v>496</v>
      </c>
      <c r="H160" s="61">
        <v>55601</v>
      </c>
      <c r="I160" s="69">
        <v>0</v>
      </c>
      <c r="J160" s="69">
        <v>0</v>
      </c>
      <c r="K160" s="143">
        <v>46050</v>
      </c>
      <c r="L160" s="144">
        <f>1580/4</f>
        <v>395</v>
      </c>
      <c r="M160" s="63">
        <f t="shared" si="0"/>
        <v>55996</v>
      </c>
      <c r="N160" s="63">
        <f t="shared" si="23"/>
        <v>16480</v>
      </c>
      <c r="O160" s="115">
        <f>495</f>
        <v>495</v>
      </c>
      <c r="P160" s="63">
        <v>0</v>
      </c>
      <c r="Q160" s="63">
        <f t="shared" si="1"/>
        <v>812</v>
      </c>
      <c r="R160" s="119">
        <f>187</f>
        <v>187</v>
      </c>
      <c r="S160" s="63">
        <v>13493</v>
      </c>
      <c r="T160" s="63">
        <v>404</v>
      </c>
      <c r="U160" s="63">
        <f t="shared" si="2"/>
        <v>31871</v>
      </c>
      <c r="V160" s="63">
        <f t="shared" si="3"/>
        <v>87867</v>
      </c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</row>
    <row r="161" spans="1:76">
      <c r="A161" s="114">
        <v>149</v>
      </c>
      <c r="B161" s="114" t="s">
        <v>254</v>
      </c>
      <c r="C161" s="76" t="s">
        <v>215</v>
      </c>
      <c r="D161" s="81" t="s">
        <v>504</v>
      </c>
      <c r="E161" s="129" t="s">
        <v>448</v>
      </c>
      <c r="F161" s="126">
        <v>38261</v>
      </c>
      <c r="G161" s="76" t="s">
        <v>505</v>
      </c>
      <c r="H161" s="61">
        <v>56795</v>
      </c>
      <c r="I161" s="69">
        <v>0</v>
      </c>
      <c r="J161" s="69">
        <v>0</v>
      </c>
      <c r="K161" s="143">
        <v>46322</v>
      </c>
      <c r="L161" s="144">
        <f>1802/4</f>
        <v>450.5</v>
      </c>
      <c r="M161" s="63">
        <f t="shared" si="0"/>
        <v>57245.5</v>
      </c>
      <c r="N161" s="63">
        <f t="shared" si="23"/>
        <v>16847</v>
      </c>
      <c r="O161" s="115">
        <f>495</f>
        <v>495</v>
      </c>
      <c r="P161" s="63">
        <v>0</v>
      </c>
      <c r="Q161" s="63">
        <f t="shared" si="1"/>
        <v>830</v>
      </c>
      <c r="R161" s="119">
        <f>187</f>
        <v>187</v>
      </c>
      <c r="S161" s="63">
        <v>13493</v>
      </c>
      <c r="T161" s="63">
        <v>404</v>
      </c>
      <c r="U161" s="63">
        <f t="shared" si="2"/>
        <v>32256</v>
      </c>
      <c r="V161" s="63">
        <f t="shared" si="3"/>
        <v>89501.5</v>
      </c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</row>
    <row r="162" spans="1:76" s="201" customFormat="1">
      <c r="A162" s="187">
        <v>150</v>
      </c>
      <c r="B162" s="187" t="s">
        <v>293</v>
      </c>
      <c r="C162" s="193" t="s">
        <v>294</v>
      </c>
      <c r="D162" s="190" t="s">
        <v>295</v>
      </c>
      <c r="E162" s="204" t="s">
        <v>450</v>
      </c>
      <c r="F162" s="205">
        <v>41106</v>
      </c>
      <c r="G162" s="193" t="s">
        <v>296</v>
      </c>
      <c r="H162" s="194">
        <f>90075</f>
        <v>90075</v>
      </c>
      <c r="I162" s="195">
        <v>0</v>
      </c>
      <c r="J162" s="195">
        <v>0</v>
      </c>
      <c r="K162" s="196"/>
      <c r="L162" s="197">
        <v>0</v>
      </c>
      <c r="M162" s="198">
        <f t="shared" si="0"/>
        <v>90075</v>
      </c>
      <c r="N162" s="198">
        <f t="shared" si="23"/>
        <v>26509</v>
      </c>
      <c r="O162" s="199">
        <f>495</f>
        <v>495</v>
      </c>
      <c r="P162" s="198">
        <v>0</v>
      </c>
      <c r="Q162" s="198">
        <f t="shared" si="1"/>
        <v>1306</v>
      </c>
      <c r="R162" s="119">
        <f>187</f>
        <v>187</v>
      </c>
      <c r="S162" s="198">
        <v>8310</v>
      </c>
      <c r="T162" s="198">
        <v>486</v>
      </c>
      <c r="U162" s="198">
        <f t="shared" si="2"/>
        <v>37293</v>
      </c>
      <c r="V162" s="198">
        <f t="shared" si="3"/>
        <v>127368</v>
      </c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200"/>
      <c r="BE162" s="200"/>
      <c r="BF162" s="200"/>
    </row>
    <row r="163" spans="1:76">
      <c r="A163" s="114">
        <v>151</v>
      </c>
      <c r="B163" s="114" t="s">
        <v>297</v>
      </c>
      <c r="C163" s="88" t="s">
        <v>503</v>
      </c>
      <c r="D163" s="81" t="s">
        <v>468</v>
      </c>
      <c r="E163" s="89"/>
      <c r="F163" s="107">
        <v>45173</v>
      </c>
      <c r="G163" s="76" t="s">
        <v>125</v>
      </c>
      <c r="H163" s="61">
        <v>32355</v>
      </c>
      <c r="I163" s="69">
        <v>0</v>
      </c>
      <c r="J163" s="69">
        <v>0</v>
      </c>
      <c r="K163" s="143"/>
      <c r="L163" s="144">
        <v>0</v>
      </c>
      <c r="M163" s="63">
        <f t="shared" si="0"/>
        <v>32355</v>
      </c>
      <c r="N163" s="63">
        <f t="shared" si="23"/>
        <v>9522</v>
      </c>
      <c r="O163" s="115">
        <f>495</f>
        <v>495</v>
      </c>
      <c r="P163" s="63">
        <v>0</v>
      </c>
      <c r="Q163" s="63">
        <f t="shared" si="1"/>
        <v>469</v>
      </c>
      <c r="R163" s="119">
        <f>187</f>
        <v>187</v>
      </c>
      <c r="S163" s="63">
        <v>4801</v>
      </c>
      <c r="T163" s="63">
        <v>342</v>
      </c>
      <c r="U163" s="63">
        <f t="shared" si="2"/>
        <v>15816</v>
      </c>
      <c r="V163" s="63">
        <f t="shared" si="3"/>
        <v>48171</v>
      </c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</row>
    <row r="164" spans="1:76">
      <c r="A164" s="39">
        <v>152</v>
      </c>
      <c r="B164" s="39" t="s">
        <v>298</v>
      </c>
      <c r="C164" s="52" t="s">
        <v>299</v>
      </c>
      <c r="D164" s="80" t="s">
        <v>93</v>
      </c>
      <c r="E164" s="89"/>
      <c r="F164" s="107"/>
      <c r="G164" s="52" t="s">
        <v>125</v>
      </c>
      <c r="H164" s="61">
        <v>0</v>
      </c>
      <c r="I164" s="69">
        <v>0</v>
      </c>
      <c r="J164" s="41">
        <v>0</v>
      </c>
      <c r="K164" s="145"/>
      <c r="L164" s="146">
        <v>0</v>
      </c>
      <c r="M164" s="45">
        <f t="shared" si="0"/>
        <v>0</v>
      </c>
      <c r="N164" s="45">
        <f t="shared" si="23"/>
        <v>0</v>
      </c>
      <c r="O164" s="45">
        <v>0</v>
      </c>
      <c r="P164" s="45">
        <v>0</v>
      </c>
      <c r="Q164" s="45">
        <f t="shared" si="1"/>
        <v>0</v>
      </c>
      <c r="R164" s="45">
        <v>0</v>
      </c>
      <c r="S164" s="45">
        <v>0</v>
      </c>
      <c r="T164" s="45">
        <v>0</v>
      </c>
      <c r="U164" s="45">
        <f t="shared" si="2"/>
        <v>0</v>
      </c>
      <c r="V164" s="45">
        <f t="shared" si="3"/>
        <v>0</v>
      </c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</row>
    <row r="165" spans="1:76">
      <c r="A165" s="114">
        <v>153</v>
      </c>
      <c r="B165" s="114" t="s">
        <v>300</v>
      </c>
      <c r="C165" s="76" t="s">
        <v>215</v>
      </c>
      <c r="D165" s="81" t="s">
        <v>301</v>
      </c>
      <c r="E165" s="89" t="s">
        <v>450</v>
      </c>
      <c r="F165" s="107">
        <v>42380</v>
      </c>
      <c r="G165" s="76" t="s">
        <v>502</v>
      </c>
      <c r="H165" s="61">
        <v>42940</v>
      </c>
      <c r="I165" s="69">
        <v>0</v>
      </c>
      <c r="J165" s="69">
        <v>0</v>
      </c>
      <c r="K165" s="143">
        <v>46009</v>
      </c>
      <c r="L165" s="144">
        <f>1356/4</f>
        <v>339</v>
      </c>
      <c r="M165" s="63">
        <f t="shared" si="0"/>
        <v>43279</v>
      </c>
      <c r="N165" s="63">
        <f t="shared" si="23"/>
        <v>12737</v>
      </c>
      <c r="O165" s="115">
        <f>495</f>
        <v>495</v>
      </c>
      <c r="P165" s="63">
        <v>0</v>
      </c>
      <c r="Q165" s="63">
        <f t="shared" si="1"/>
        <v>628</v>
      </c>
      <c r="R165" s="119">
        <f>187</f>
        <v>187</v>
      </c>
      <c r="S165" s="63">
        <v>8551</v>
      </c>
      <c r="T165" s="63">
        <v>342</v>
      </c>
      <c r="U165" s="63">
        <f t="shared" si="2"/>
        <v>22940</v>
      </c>
      <c r="V165" s="63">
        <f t="shared" si="3"/>
        <v>66219</v>
      </c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</row>
    <row r="166" spans="1:76">
      <c r="A166" s="39">
        <v>154</v>
      </c>
      <c r="B166" s="39" t="s">
        <v>302</v>
      </c>
      <c r="C166" s="52" t="s">
        <v>299</v>
      </c>
      <c r="D166" s="80" t="s">
        <v>445</v>
      </c>
      <c r="E166" s="89"/>
      <c r="F166" s="107">
        <v>44732</v>
      </c>
      <c r="G166" s="52" t="s">
        <v>125</v>
      </c>
      <c r="H166" s="61">
        <f>32355</f>
        <v>32355</v>
      </c>
      <c r="I166" s="69">
        <v>0</v>
      </c>
      <c r="J166" s="41">
        <v>0</v>
      </c>
      <c r="K166" s="145"/>
      <c r="L166" s="146">
        <v>0</v>
      </c>
      <c r="M166" s="45">
        <f t="shared" si="0"/>
        <v>32355</v>
      </c>
      <c r="N166" s="45">
        <f t="shared" si="23"/>
        <v>9522</v>
      </c>
      <c r="O166" s="43">
        <f>495</f>
        <v>495</v>
      </c>
      <c r="P166" s="45">
        <v>0</v>
      </c>
      <c r="Q166" s="45">
        <f t="shared" si="1"/>
        <v>469</v>
      </c>
      <c r="R166" s="121">
        <f>187</f>
        <v>187</v>
      </c>
      <c r="S166" s="45">
        <v>0</v>
      </c>
      <c r="T166" s="45">
        <v>0</v>
      </c>
      <c r="U166" s="45">
        <f t="shared" si="2"/>
        <v>10673</v>
      </c>
      <c r="V166" s="45">
        <f t="shared" si="3"/>
        <v>43028</v>
      </c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</row>
    <row r="167" spans="1:76">
      <c r="A167" s="39">
        <v>155</v>
      </c>
      <c r="B167" s="39" t="s">
        <v>303</v>
      </c>
      <c r="C167" s="52" t="s">
        <v>215</v>
      </c>
      <c r="D167" s="80" t="s">
        <v>93</v>
      </c>
      <c r="E167" s="89"/>
      <c r="F167" s="107"/>
      <c r="G167" s="52" t="s">
        <v>148</v>
      </c>
      <c r="H167" s="61">
        <v>0</v>
      </c>
      <c r="I167" s="69">
        <v>0</v>
      </c>
      <c r="J167" s="41">
        <v>0</v>
      </c>
      <c r="K167" s="145"/>
      <c r="L167" s="146">
        <v>0</v>
      </c>
      <c r="M167" s="45">
        <f t="shared" si="0"/>
        <v>0</v>
      </c>
      <c r="N167" s="45">
        <f t="shared" si="23"/>
        <v>0</v>
      </c>
      <c r="O167" s="45">
        <v>0</v>
      </c>
      <c r="P167" s="45">
        <v>0</v>
      </c>
      <c r="Q167" s="45">
        <f t="shared" si="1"/>
        <v>0</v>
      </c>
      <c r="R167" s="45">
        <v>0</v>
      </c>
      <c r="S167" s="45">
        <v>0</v>
      </c>
      <c r="T167" s="45">
        <v>0</v>
      </c>
      <c r="U167" s="45">
        <f t="shared" si="2"/>
        <v>0</v>
      </c>
      <c r="V167" s="45">
        <f t="shared" si="3"/>
        <v>0</v>
      </c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</row>
    <row r="168" spans="1:76">
      <c r="A168" s="114">
        <v>156</v>
      </c>
      <c r="B168" s="114" t="s">
        <v>304</v>
      </c>
      <c r="C168" s="76" t="s">
        <v>485</v>
      </c>
      <c r="D168" s="81" t="s">
        <v>305</v>
      </c>
      <c r="E168" s="89" t="s">
        <v>450</v>
      </c>
      <c r="F168" s="107">
        <v>40189</v>
      </c>
      <c r="G168" s="76" t="s">
        <v>501</v>
      </c>
      <c r="H168" s="61">
        <v>50446</v>
      </c>
      <c r="I168" s="69">
        <v>0</v>
      </c>
      <c r="J168" s="69">
        <v>0</v>
      </c>
      <c r="K168" s="143">
        <v>45895</v>
      </c>
      <c r="L168" s="144">
        <f>267/4</f>
        <v>66.75</v>
      </c>
      <c r="M168" s="63">
        <f t="shared" si="0"/>
        <v>50512.75</v>
      </c>
      <c r="N168" s="63">
        <f t="shared" si="23"/>
        <v>14866</v>
      </c>
      <c r="O168" s="115">
        <f>495</f>
        <v>495</v>
      </c>
      <c r="P168" s="63">
        <v>0</v>
      </c>
      <c r="Q168" s="63">
        <f t="shared" si="1"/>
        <v>732</v>
      </c>
      <c r="R168" s="119">
        <f>187</f>
        <v>187</v>
      </c>
      <c r="S168" s="63">
        <v>21918</v>
      </c>
      <c r="T168" s="63">
        <v>653</v>
      </c>
      <c r="U168" s="63">
        <f t="shared" si="2"/>
        <v>38851</v>
      </c>
      <c r="V168" s="63">
        <f t="shared" si="3"/>
        <v>89363.75</v>
      </c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</row>
    <row r="169" spans="1:76">
      <c r="A169" s="39">
        <v>157</v>
      </c>
      <c r="B169" s="39" t="s">
        <v>334</v>
      </c>
      <c r="C169" s="52" t="s">
        <v>65</v>
      </c>
      <c r="D169" s="80" t="s">
        <v>343</v>
      </c>
      <c r="E169" s="89"/>
      <c r="F169" s="107"/>
      <c r="G169" s="52" t="s">
        <v>67</v>
      </c>
      <c r="H169" s="61">
        <v>0</v>
      </c>
      <c r="I169" s="69">
        <v>0</v>
      </c>
      <c r="J169" s="41">
        <v>0</v>
      </c>
      <c r="K169" s="145"/>
      <c r="L169" s="146">
        <v>0</v>
      </c>
      <c r="M169" s="45">
        <f t="shared" si="0"/>
        <v>0</v>
      </c>
      <c r="N169" s="45">
        <f>ROUND((M169*0.2943),0)</f>
        <v>0</v>
      </c>
      <c r="O169" s="45">
        <v>0</v>
      </c>
      <c r="P169" s="45">
        <v>0</v>
      </c>
      <c r="Q169" s="45">
        <f t="shared" si="1"/>
        <v>0</v>
      </c>
      <c r="R169" s="45">
        <v>0</v>
      </c>
      <c r="S169" s="45">
        <v>0</v>
      </c>
      <c r="T169" s="45">
        <v>0</v>
      </c>
      <c r="U169" s="45">
        <f t="shared" si="2"/>
        <v>0</v>
      </c>
      <c r="V169" s="45">
        <f t="shared" si="3"/>
        <v>0</v>
      </c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</row>
    <row r="170" spans="1:76">
      <c r="A170" s="39">
        <v>158</v>
      </c>
      <c r="B170" s="39" t="s">
        <v>335</v>
      </c>
      <c r="C170" s="52" t="s">
        <v>336</v>
      </c>
      <c r="D170" s="80" t="s">
        <v>93</v>
      </c>
      <c r="E170" s="89"/>
      <c r="F170" s="107"/>
      <c r="G170" s="52" t="s">
        <v>148</v>
      </c>
      <c r="H170" s="61">
        <v>0</v>
      </c>
      <c r="I170" s="69">
        <v>0</v>
      </c>
      <c r="J170" s="41">
        <v>0</v>
      </c>
      <c r="K170" s="145"/>
      <c r="L170" s="146">
        <v>0</v>
      </c>
      <c r="M170" s="45">
        <f t="shared" si="0"/>
        <v>0</v>
      </c>
      <c r="N170" s="45">
        <f t="shared" ref="N170:N172" si="24">ROUND((M170*0.2943),0)</f>
        <v>0</v>
      </c>
      <c r="O170" s="45">
        <v>0</v>
      </c>
      <c r="P170" s="45">
        <v>0</v>
      </c>
      <c r="Q170" s="45">
        <f t="shared" si="1"/>
        <v>0</v>
      </c>
      <c r="R170" s="45">
        <v>0</v>
      </c>
      <c r="S170" s="45">
        <v>0</v>
      </c>
      <c r="T170" s="45">
        <v>0</v>
      </c>
      <c r="U170" s="45">
        <f t="shared" si="2"/>
        <v>0</v>
      </c>
      <c r="V170" s="45">
        <f t="shared" si="3"/>
        <v>0</v>
      </c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</row>
    <row r="171" spans="1:76">
      <c r="A171" s="39">
        <v>159</v>
      </c>
      <c r="B171" s="39" t="s">
        <v>337</v>
      </c>
      <c r="C171" s="52" t="s">
        <v>338</v>
      </c>
      <c r="D171" s="80" t="s">
        <v>93</v>
      </c>
      <c r="E171" s="89"/>
      <c r="F171" s="107"/>
      <c r="G171" s="52" t="s">
        <v>148</v>
      </c>
      <c r="H171" s="61">
        <v>0</v>
      </c>
      <c r="I171" s="69">
        <v>0</v>
      </c>
      <c r="J171" s="41">
        <v>0</v>
      </c>
      <c r="K171" s="145"/>
      <c r="L171" s="146">
        <v>0</v>
      </c>
      <c r="M171" s="45">
        <f t="shared" si="0"/>
        <v>0</v>
      </c>
      <c r="N171" s="45">
        <f t="shared" si="24"/>
        <v>0</v>
      </c>
      <c r="O171" s="45">
        <v>0</v>
      </c>
      <c r="P171" s="45">
        <v>0</v>
      </c>
      <c r="Q171" s="45">
        <f t="shared" si="1"/>
        <v>0</v>
      </c>
      <c r="R171" s="45">
        <v>0</v>
      </c>
      <c r="S171" s="45">
        <v>0</v>
      </c>
      <c r="T171" s="45">
        <v>0</v>
      </c>
      <c r="U171" s="45">
        <f t="shared" si="2"/>
        <v>0</v>
      </c>
      <c r="V171" s="45">
        <f t="shared" si="3"/>
        <v>0</v>
      </c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</row>
    <row r="172" spans="1:76">
      <c r="A172" s="39">
        <v>160</v>
      </c>
      <c r="B172" s="39" t="s">
        <v>339</v>
      </c>
      <c r="C172" s="52" t="s">
        <v>340</v>
      </c>
      <c r="D172" s="80" t="s">
        <v>93</v>
      </c>
      <c r="E172" s="89"/>
      <c r="F172" s="107"/>
      <c r="G172" s="52" t="s">
        <v>341</v>
      </c>
      <c r="H172" s="61">
        <v>0</v>
      </c>
      <c r="I172" s="69">
        <v>0</v>
      </c>
      <c r="J172" s="41">
        <v>0</v>
      </c>
      <c r="K172" s="145"/>
      <c r="L172" s="146">
        <v>0</v>
      </c>
      <c r="M172" s="45">
        <f t="shared" si="0"/>
        <v>0</v>
      </c>
      <c r="N172" s="45">
        <f t="shared" si="24"/>
        <v>0</v>
      </c>
      <c r="O172" s="45">
        <v>0</v>
      </c>
      <c r="P172" s="45">
        <v>0</v>
      </c>
      <c r="Q172" s="45">
        <f t="shared" si="1"/>
        <v>0</v>
      </c>
      <c r="R172" s="45">
        <v>0</v>
      </c>
      <c r="S172" s="45">
        <v>0</v>
      </c>
      <c r="T172" s="45">
        <v>0</v>
      </c>
      <c r="U172" s="45">
        <f t="shared" si="2"/>
        <v>0</v>
      </c>
      <c r="V172" s="45">
        <f t="shared" si="3"/>
        <v>0</v>
      </c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</row>
    <row r="173" spans="1:76">
      <c r="A173" s="114">
        <v>161</v>
      </c>
      <c r="B173" s="114" t="s">
        <v>370</v>
      </c>
      <c r="C173" s="76" t="s">
        <v>311</v>
      </c>
      <c r="D173" s="81" t="s">
        <v>499</v>
      </c>
      <c r="E173" s="89" t="s">
        <v>477</v>
      </c>
      <c r="F173" s="107">
        <v>44144</v>
      </c>
      <c r="G173" s="76" t="s">
        <v>500</v>
      </c>
      <c r="H173" s="61">
        <v>39349</v>
      </c>
      <c r="I173" s="69">
        <v>0</v>
      </c>
      <c r="J173" s="69">
        <v>0</v>
      </c>
      <c r="K173" s="143">
        <v>45827</v>
      </c>
      <c r="L173" s="144">
        <f>497/4</f>
        <v>124.25</v>
      </c>
      <c r="M173" s="63">
        <f t="shared" si="0"/>
        <v>39473.25</v>
      </c>
      <c r="N173" s="63">
        <f>ROUND((M173*0.2943),0)</f>
        <v>11617</v>
      </c>
      <c r="O173" s="115">
        <f>495</f>
        <v>495</v>
      </c>
      <c r="P173" s="63">
        <v>0</v>
      </c>
      <c r="Q173" s="63">
        <f t="shared" si="1"/>
        <v>572</v>
      </c>
      <c r="R173" s="119">
        <f>187</f>
        <v>187</v>
      </c>
      <c r="S173" s="63">
        <v>0</v>
      </c>
      <c r="T173" s="63">
        <v>0</v>
      </c>
      <c r="U173" s="63">
        <f t="shared" si="2"/>
        <v>12871</v>
      </c>
      <c r="V173" s="63">
        <f t="shared" si="3"/>
        <v>52344.25</v>
      </c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</row>
    <row r="174" spans="1:76">
      <c r="A174" s="114">
        <v>162</v>
      </c>
      <c r="B174" s="114" t="s">
        <v>371</v>
      </c>
      <c r="C174" s="76" t="s">
        <v>311</v>
      </c>
      <c r="D174" s="81" t="s">
        <v>372</v>
      </c>
      <c r="E174" s="89" t="s">
        <v>477</v>
      </c>
      <c r="F174" s="107">
        <v>44354</v>
      </c>
      <c r="G174" s="76" t="s">
        <v>500</v>
      </c>
      <c r="H174" s="61">
        <v>39349</v>
      </c>
      <c r="I174" s="69">
        <v>0</v>
      </c>
      <c r="J174" s="69">
        <v>0</v>
      </c>
      <c r="K174" s="143">
        <v>45827</v>
      </c>
      <c r="L174" s="144">
        <f>497/4</f>
        <v>124.25</v>
      </c>
      <c r="M174" s="63">
        <f t="shared" si="0"/>
        <v>39473.25</v>
      </c>
      <c r="N174" s="63">
        <f t="shared" ref="N174:N176" si="25">ROUND((M174*0.2943),0)</f>
        <v>11617</v>
      </c>
      <c r="O174" s="115">
        <f>495</f>
        <v>495</v>
      </c>
      <c r="P174" s="63">
        <v>0</v>
      </c>
      <c r="Q174" s="63">
        <f t="shared" si="1"/>
        <v>572</v>
      </c>
      <c r="R174" s="119">
        <f>187</f>
        <v>187</v>
      </c>
      <c r="S174" s="63">
        <v>6921</v>
      </c>
      <c r="T174" s="63">
        <v>404</v>
      </c>
      <c r="U174" s="63">
        <f t="shared" si="2"/>
        <v>20196</v>
      </c>
      <c r="V174" s="63">
        <f t="shared" si="3"/>
        <v>59669.25</v>
      </c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</row>
    <row r="175" spans="1:76">
      <c r="A175" s="39">
        <v>163</v>
      </c>
      <c r="B175" s="39" t="s">
        <v>373</v>
      </c>
      <c r="C175" s="52" t="s">
        <v>311</v>
      </c>
      <c r="D175" s="80" t="s">
        <v>93</v>
      </c>
      <c r="E175" s="89"/>
      <c r="F175" s="107"/>
      <c r="G175" s="52" t="s">
        <v>312</v>
      </c>
      <c r="H175" s="61">
        <v>0</v>
      </c>
      <c r="I175" s="69">
        <v>0</v>
      </c>
      <c r="J175" s="41">
        <v>0</v>
      </c>
      <c r="K175" s="145"/>
      <c r="L175" s="146">
        <v>0</v>
      </c>
      <c r="M175" s="45">
        <f t="shared" si="0"/>
        <v>0</v>
      </c>
      <c r="N175" s="45">
        <f t="shared" si="25"/>
        <v>0</v>
      </c>
      <c r="O175" s="45">
        <v>0</v>
      </c>
      <c r="P175" s="45">
        <v>0</v>
      </c>
      <c r="Q175" s="45">
        <f t="shared" si="1"/>
        <v>0</v>
      </c>
      <c r="R175" s="45">
        <v>0</v>
      </c>
      <c r="S175" s="45">
        <v>0</v>
      </c>
      <c r="T175" s="45">
        <v>0</v>
      </c>
      <c r="U175" s="45">
        <f t="shared" si="2"/>
        <v>0</v>
      </c>
      <c r="V175" s="45">
        <f t="shared" si="3"/>
        <v>0</v>
      </c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</row>
    <row r="176" spans="1:76">
      <c r="A176" s="39">
        <v>164</v>
      </c>
      <c r="B176" s="39" t="s">
        <v>374</v>
      </c>
      <c r="C176" s="52" t="s">
        <v>375</v>
      </c>
      <c r="D176" s="80" t="s">
        <v>93</v>
      </c>
      <c r="E176" s="89"/>
      <c r="F176" s="107"/>
      <c r="G176" s="52" t="s">
        <v>341</v>
      </c>
      <c r="H176" s="61">
        <v>0</v>
      </c>
      <c r="I176" s="69">
        <v>0</v>
      </c>
      <c r="J176" s="41">
        <v>0</v>
      </c>
      <c r="K176" s="145"/>
      <c r="L176" s="146">
        <v>0</v>
      </c>
      <c r="M176" s="45">
        <f t="shared" si="0"/>
        <v>0</v>
      </c>
      <c r="N176" s="45">
        <f t="shared" si="25"/>
        <v>0</v>
      </c>
      <c r="O176" s="45">
        <v>0</v>
      </c>
      <c r="P176" s="45">
        <v>0</v>
      </c>
      <c r="Q176" s="45">
        <f t="shared" si="1"/>
        <v>0</v>
      </c>
      <c r="R176" s="45">
        <v>0</v>
      </c>
      <c r="S176" s="45">
        <v>0</v>
      </c>
      <c r="T176" s="45">
        <v>0</v>
      </c>
      <c r="U176" s="45">
        <f t="shared" si="2"/>
        <v>0</v>
      </c>
      <c r="V176" s="45">
        <f t="shared" si="3"/>
        <v>0</v>
      </c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</row>
    <row r="177" spans="1:58" ht="18.75">
      <c r="A177" s="114">
        <v>165</v>
      </c>
      <c r="B177" s="114" t="s">
        <v>404</v>
      </c>
      <c r="C177" s="86" t="s">
        <v>498</v>
      </c>
      <c r="D177" s="81" t="s">
        <v>405</v>
      </c>
      <c r="E177" s="129" t="s">
        <v>474</v>
      </c>
      <c r="F177" s="126">
        <v>44704</v>
      </c>
      <c r="G177" s="76" t="s">
        <v>144</v>
      </c>
      <c r="H177" s="61">
        <v>37913</v>
      </c>
      <c r="I177" s="69">
        <v>0</v>
      </c>
      <c r="J177" s="69">
        <v>0</v>
      </c>
      <c r="K177" s="143"/>
      <c r="L177" s="144">
        <v>0</v>
      </c>
      <c r="M177" s="63">
        <f t="shared" si="0"/>
        <v>37913</v>
      </c>
      <c r="N177" s="63">
        <v>9522</v>
      </c>
      <c r="O177" s="115">
        <f>495</f>
        <v>495</v>
      </c>
      <c r="P177" s="63">
        <v>0</v>
      </c>
      <c r="Q177" s="63">
        <f t="shared" si="1"/>
        <v>550</v>
      </c>
      <c r="R177" s="119">
        <f>187</f>
        <v>187</v>
      </c>
      <c r="S177" s="63">
        <v>6921</v>
      </c>
      <c r="T177" s="63">
        <v>0</v>
      </c>
      <c r="U177" s="63">
        <f t="shared" si="2"/>
        <v>17675</v>
      </c>
      <c r="V177" s="63">
        <f t="shared" si="3"/>
        <v>55588</v>
      </c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</row>
    <row r="178" spans="1:58">
      <c r="A178" s="114">
        <v>166</v>
      </c>
      <c r="B178" s="114" t="s">
        <v>399</v>
      </c>
      <c r="C178" s="76" t="s">
        <v>102</v>
      </c>
      <c r="D178" s="81" t="s">
        <v>400</v>
      </c>
      <c r="E178" s="129" t="s">
        <v>474</v>
      </c>
      <c r="F178" s="126"/>
      <c r="G178" s="76" t="s">
        <v>79</v>
      </c>
      <c r="H178" s="61">
        <f>32355</f>
        <v>32355</v>
      </c>
      <c r="I178" s="69">
        <v>0</v>
      </c>
      <c r="J178" s="69">
        <v>0</v>
      </c>
      <c r="K178" s="143"/>
      <c r="L178" s="144">
        <v>0</v>
      </c>
      <c r="M178" s="63">
        <f t="shared" ref="M178" si="26">(+H178+I178+J178+L178)</f>
        <v>32355</v>
      </c>
      <c r="N178" s="63">
        <v>9522</v>
      </c>
      <c r="O178" s="115">
        <f>495</f>
        <v>495</v>
      </c>
      <c r="P178" s="63">
        <v>0</v>
      </c>
      <c r="Q178" s="63">
        <f t="shared" ref="Q178" si="27">ROUND((M178*0.0145),0)</f>
        <v>469</v>
      </c>
      <c r="R178" s="119">
        <f>187</f>
        <v>187</v>
      </c>
      <c r="S178" s="63">
        <v>8310</v>
      </c>
      <c r="T178" s="63">
        <v>486</v>
      </c>
      <c r="U178" s="63">
        <f t="shared" ref="U178" si="28">+N178+O178+P178+Q178+R178+S178+T178</f>
        <v>19469</v>
      </c>
      <c r="V178" s="63">
        <f t="shared" ref="V178" si="29">+M178+U178</f>
        <v>51824</v>
      </c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</row>
    <row r="179" spans="1:58">
      <c r="A179" s="114">
        <v>167</v>
      </c>
      <c r="B179" s="114" t="s">
        <v>401</v>
      </c>
      <c r="C179" s="76" t="s">
        <v>102</v>
      </c>
      <c r="D179" s="81" t="s">
        <v>129</v>
      </c>
      <c r="E179" s="129" t="s">
        <v>474</v>
      </c>
      <c r="F179" s="126"/>
      <c r="G179" s="76" t="s">
        <v>79</v>
      </c>
      <c r="H179" s="61">
        <f>32355</f>
        <v>32355</v>
      </c>
      <c r="I179" s="69">
        <v>0</v>
      </c>
      <c r="J179" s="69">
        <v>0</v>
      </c>
      <c r="K179" s="143"/>
      <c r="L179" s="144">
        <v>0</v>
      </c>
      <c r="M179" s="63">
        <f t="shared" si="0"/>
        <v>32355</v>
      </c>
      <c r="N179" s="63">
        <v>9522</v>
      </c>
      <c r="O179" s="115">
        <f>495</f>
        <v>495</v>
      </c>
      <c r="P179" s="63">
        <v>0</v>
      </c>
      <c r="Q179" s="63">
        <f t="shared" si="1"/>
        <v>469</v>
      </c>
      <c r="R179" s="119">
        <f>187</f>
        <v>187</v>
      </c>
      <c r="S179" s="63">
        <v>8310</v>
      </c>
      <c r="T179" s="63">
        <v>486</v>
      </c>
      <c r="U179" s="63">
        <f t="shared" si="2"/>
        <v>19469</v>
      </c>
      <c r="V179" s="63">
        <f t="shared" si="3"/>
        <v>51824</v>
      </c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</row>
    <row r="180" spans="1:58">
      <c r="A180" s="114">
        <v>168</v>
      </c>
      <c r="B180" s="114" t="s">
        <v>402</v>
      </c>
      <c r="C180" s="76" t="s">
        <v>102</v>
      </c>
      <c r="D180" s="81" t="s">
        <v>403</v>
      </c>
      <c r="E180" s="129" t="s">
        <v>474</v>
      </c>
      <c r="F180" s="126">
        <v>44739</v>
      </c>
      <c r="G180" s="76" t="s">
        <v>79</v>
      </c>
      <c r="H180" s="61">
        <f>32355</f>
        <v>32355</v>
      </c>
      <c r="I180" s="69">
        <v>0</v>
      </c>
      <c r="J180" s="69">
        <v>0</v>
      </c>
      <c r="K180" s="143"/>
      <c r="L180" s="144">
        <v>0</v>
      </c>
      <c r="M180" s="63">
        <f t="shared" si="0"/>
        <v>32355</v>
      </c>
      <c r="N180" s="63">
        <v>9522</v>
      </c>
      <c r="O180" s="115">
        <f>495</f>
        <v>495</v>
      </c>
      <c r="P180" s="63">
        <v>0</v>
      </c>
      <c r="Q180" s="63">
        <f t="shared" si="1"/>
        <v>469</v>
      </c>
      <c r="R180" s="119">
        <f>187</f>
        <v>187</v>
      </c>
      <c r="S180" s="63">
        <v>11192</v>
      </c>
      <c r="T180" s="63">
        <v>653</v>
      </c>
      <c r="U180" s="63">
        <f t="shared" si="2"/>
        <v>22518</v>
      </c>
      <c r="V180" s="63">
        <f t="shared" si="3"/>
        <v>54873</v>
      </c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</row>
    <row r="181" spans="1:58">
      <c r="A181" s="114">
        <v>169</v>
      </c>
      <c r="B181" s="114" t="s">
        <v>407</v>
      </c>
      <c r="C181" s="76" t="s">
        <v>406</v>
      </c>
      <c r="D181" s="81" t="s">
        <v>408</v>
      </c>
      <c r="E181" s="129" t="s">
        <v>474</v>
      </c>
      <c r="F181" s="126">
        <v>45124</v>
      </c>
      <c r="G181" s="76" t="s">
        <v>144</v>
      </c>
      <c r="H181" s="61">
        <f>37913</f>
        <v>37913</v>
      </c>
      <c r="I181" s="69">
        <v>0</v>
      </c>
      <c r="J181" s="69">
        <v>0</v>
      </c>
      <c r="K181" s="143"/>
      <c r="L181" s="144">
        <v>0</v>
      </c>
      <c r="M181" s="63">
        <f t="shared" si="0"/>
        <v>37913</v>
      </c>
      <c r="N181" s="63">
        <v>11158</v>
      </c>
      <c r="O181" s="115">
        <f>495</f>
        <v>495</v>
      </c>
      <c r="P181" s="63">
        <v>0</v>
      </c>
      <c r="Q181" s="63">
        <f t="shared" si="1"/>
        <v>550</v>
      </c>
      <c r="R181" s="119">
        <f>187</f>
        <v>187</v>
      </c>
      <c r="S181" s="63">
        <v>6921</v>
      </c>
      <c r="T181" s="63">
        <v>0</v>
      </c>
      <c r="U181" s="63">
        <f t="shared" si="2"/>
        <v>19311</v>
      </c>
      <c r="V181" s="63">
        <f t="shared" si="3"/>
        <v>57224</v>
      </c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</row>
    <row r="182" spans="1:58">
      <c r="A182" s="114">
        <v>170</v>
      </c>
      <c r="B182" s="114" t="s">
        <v>410</v>
      </c>
      <c r="C182" s="76" t="s">
        <v>409</v>
      </c>
      <c r="D182" s="81" t="s">
        <v>129</v>
      </c>
      <c r="E182" s="129"/>
      <c r="F182" s="126"/>
      <c r="G182" s="76" t="s">
        <v>79</v>
      </c>
      <c r="H182" s="61">
        <f>32355</f>
        <v>32355</v>
      </c>
      <c r="I182" s="69">
        <v>0</v>
      </c>
      <c r="J182" s="69">
        <v>0</v>
      </c>
      <c r="K182" s="143"/>
      <c r="L182" s="144">
        <v>0</v>
      </c>
      <c r="M182" s="63">
        <f t="shared" si="0"/>
        <v>32355</v>
      </c>
      <c r="N182" s="63">
        <v>9522</v>
      </c>
      <c r="O182" s="115">
        <f>495</f>
        <v>495</v>
      </c>
      <c r="P182" s="63">
        <v>0</v>
      </c>
      <c r="Q182" s="63">
        <f t="shared" si="1"/>
        <v>469</v>
      </c>
      <c r="R182" s="119">
        <f>187</f>
        <v>187</v>
      </c>
      <c r="S182" s="63">
        <v>8310</v>
      </c>
      <c r="T182" s="63">
        <v>486</v>
      </c>
      <c r="U182" s="63">
        <f t="shared" si="2"/>
        <v>19469</v>
      </c>
      <c r="V182" s="63">
        <f t="shared" si="3"/>
        <v>51824</v>
      </c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</row>
    <row r="183" spans="1:58">
      <c r="A183" s="114">
        <v>171</v>
      </c>
      <c r="B183" s="114" t="s">
        <v>411</v>
      </c>
      <c r="C183" s="76" t="s">
        <v>102</v>
      </c>
      <c r="D183" s="81" t="s">
        <v>274</v>
      </c>
      <c r="E183" s="129" t="s">
        <v>474</v>
      </c>
      <c r="F183" s="109">
        <v>44355</v>
      </c>
      <c r="G183" s="76" t="s">
        <v>79</v>
      </c>
      <c r="H183" s="61">
        <f>32355</f>
        <v>32355</v>
      </c>
      <c r="I183" s="69">
        <v>0</v>
      </c>
      <c r="J183" s="69">
        <v>0</v>
      </c>
      <c r="K183" s="143"/>
      <c r="L183" s="144">
        <v>0</v>
      </c>
      <c r="M183" s="63">
        <f t="shared" si="0"/>
        <v>32355</v>
      </c>
      <c r="N183" s="63">
        <v>9522</v>
      </c>
      <c r="O183" s="115">
        <f>495</f>
        <v>495</v>
      </c>
      <c r="P183" s="63">
        <v>0</v>
      </c>
      <c r="Q183" s="63">
        <f t="shared" si="1"/>
        <v>469</v>
      </c>
      <c r="R183" s="119">
        <f>187</f>
        <v>187</v>
      </c>
      <c r="S183" s="63">
        <v>0</v>
      </c>
      <c r="T183" s="63">
        <v>0</v>
      </c>
      <c r="U183" s="63">
        <f t="shared" si="2"/>
        <v>10673</v>
      </c>
      <c r="V183" s="63">
        <f t="shared" si="3"/>
        <v>43028</v>
      </c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</row>
    <row r="184" spans="1:58">
      <c r="A184" s="114">
        <v>172</v>
      </c>
      <c r="B184" s="114" t="s">
        <v>412</v>
      </c>
      <c r="C184" s="76" t="s">
        <v>409</v>
      </c>
      <c r="D184" s="81" t="s">
        <v>129</v>
      </c>
      <c r="E184" s="129" t="s">
        <v>474</v>
      </c>
      <c r="F184" s="126"/>
      <c r="G184" s="76" t="s">
        <v>79</v>
      </c>
      <c r="H184" s="61">
        <f>32355</f>
        <v>32355</v>
      </c>
      <c r="I184" s="69">
        <v>0</v>
      </c>
      <c r="J184" s="69">
        <v>0</v>
      </c>
      <c r="K184" s="143"/>
      <c r="L184" s="144">
        <v>0</v>
      </c>
      <c r="M184" s="63">
        <f t="shared" si="0"/>
        <v>32355</v>
      </c>
      <c r="N184" s="63">
        <v>9522</v>
      </c>
      <c r="O184" s="115">
        <f>495</f>
        <v>495</v>
      </c>
      <c r="P184" s="63">
        <v>0</v>
      </c>
      <c r="Q184" s="63">
        <f t="shared" si="1"/>
        <v>469</v>
      </c>
      <c r="R184" s="119">
        <f>187</f>
        <v>187</v>
      </c>
      <c r="S184" s="63">
        <v>8310</v>
      </c>
      <c r="T184" s="63">
        <v>486</v>
      </c>
      <c r="U184" s="63">
        <f t="shared" si="2"/>
        <v>19469</v>
      </c>
      <c r="V184" s="63">
        <f t="shared" si="3"/>
        <v>51824</v>
      </c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</row>
    <row r="185" spans="1:58">
      <c r="A185" s="114">
        <v>173</v>
      </c>
      <c r="B185" s="114" t="s">
        <v>413</v>
      </c>
      <c r="C185" s="76" t="s">
        <v>414</v>
      </c>
      <c r="D185" s="81" t="s">
        <v>129</v>
      </c>
      <c r="E185" s="129" t="s">
        <v>474</v>
      </c>
      <c r="F185" s="126"/>
      <c r="G185" s="76" t="s">
        <v>94</v>
      </c>
      <c r="H185" s="61">
        <f>41372</f>
        <v>41372</v>
      </c>
      <c r="I185" s="69">
        <v>0</v>
      </c>
      <c r="J185" s="69">
        <v>0</v>
      </c>
      <c r="K185" s="143"/>
      <c r="L185" s="144">
        <v>0</v>
      </c>
      <c r="M185" s="63">
        <f t="shared" si="0"/>
        <v>41372</v>
      </c>
      <c r="N185" s="63">
        <v>12176</v>
      </c>
      <c r="O185" s="115">
        <f>495</f>
        <v>495</v>
      </c>
      <c r="P185" s="63">
        <v>0</v>
      </c>
      <c r="Q185" s="63">
        <f t="shared" si="1"/>
        <v>600</v>
      </c>
      <c r="R185" s="119">
        <f>187</f>
        <v>187</v>
      </c>
      <c r="S185" s="63">
        <v>8310</v>
      </c>
      <c r="T185" s="63">
        <v>486</v>
      </c>
      <c r="U185" s="63">
        <f t="shared" si="2"/>
        <v>22254</v>
      </c>
      <c r="V185" s="63">
        <f t="shared" si="3"/>
        <v>63626</v>
      </c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</row>
    <row r="186" spans="1:58">
      <c r="A186" s="114">
        <v>174</v>
      </c>
      <c r="B186" s="114" t="s">
        <v>416</v>
      </c>
      <c r="C186" s="76" t="s">
        <v>102</v>
      </c>
      <c r="D186" s="81" t="s">
        <v>444</v>
      </c>
      <c r="E186" s="129" t="s">
        <v>474</v>
      </c>
      <c r="F186" s="126">
        <v>45159</v>
      </c>
      <c r="G186" s="76" t="s">
        <v>79</v>
      </c>
      <c r="H186" s="61">
        <f>32355</f>
        <v>32355</v>
      </c>
      <c r="I186" s="69">
        <v>0</v>
      </c>
      <c r="J186" s="69">
        <v>0</v>
      </c>
      <c r="K186" s="143"/>
      <c r="L186" s="144">
        <v>0</v>
      </c>
      <c r="M186" s="63">
        <f t="shared" si="0"/>
        <v>32355</v>
      </c>
      <c r="N186" s="63">
        <v>9522</v>
      </c>
      <c r="O186" s="115">
        <f>495</f>
        <v>495</v>
      </c>
      <c r="P186" s="63">
        <v>0</v>
      </c>
      <c r="Q186" s="63">
        <f t="shared" si="1"/>
        <v>469</v>
      </c>
      <c r="R186" s="119">
        <f>187</f>
        <v>187</v>
      </c>
      <c r="S186" s="63">
        <v>4801</v>
      </c>
      <c r="T186" s="63">
        <v>342</v>
      </c>
      <c r="U186" s="63">
        <f t="shared" si="2"/>
        <v>15816</v>
      </c>
      <c r="V186" s="63">
        <f t="shared" si="3"/>
        <v>48171</v>
      </c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</row>
    <row r="187" spans="1:58">
      <c r="A187" s="114">
        <v>175</v>
      </c>
      <c r="B187" s="114" t="s">
        <v>417</v>
      </c>
      <c r="C187" s="129" t="s">
        <v>471</v>
      </c>
      <c r="D187" s="81" t="s">
        <v>469</v>
      </c>
      <c r="E187" s="129" t="s">
        <v>474</v>
      </c>
      <c r="F187" s="126">
        <v>44326</v>
      </c>
      <c r="G187" s="76" t="s">
        <v>79</v>
      </c>
      <c r="H187" s="61">
        <f>32355</f>
        <v>32355</v>
      </c>
      <c r="I187" s="69">
        <v>0</v>
      </c>
      <c r="J187" s="69">
        <v>0</v>
      </c>
      <c r="K187" s="143"/>
      <c r="L187" s="144">
        <v>0</v>
      </c>
      <c r="M187" s="63">
        <f t="shared" si="0"/>
        <v>32355</v>
      </c>
      <c r="N187" s="63">
        <v>9522</v>
      </c>
      <c r="O187" s="115">
        <f>495</f>
        <v>495</v>
      </c>
      <c r="P187" s="63">
        <v>0</v>
      </c>
      <c r="Q187" s="63">
        <f t="shared" si="1"/>
        <v>469</v>
      </c>
      <c r="R187" s="119">
        <f>187</f>
        <v>187</v>
      </c>
      <c r="S187" s="63">
        <v>0</v>
      </c>
      <c r="T187" s="63">
        <v>0</v>
      </c>
      <c r="U187" s="63">
        <f t="shared" si="2"/>
        <v>10673</v>
      </c>
      <c r="V187" s="63">
        <f t="shared" si="3"/>
        <v>43028</v>
      </c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</row>
    <row r="188" spans="1:58" ht="27.75">
      <c r="A188" s="114">
        <v>176</v>
      </c>
      <c r="B188" s="114" t="s">
        <v>418</v>
      </c>
      <c r="C188" s="86" t="s">
        <v>530</v>
      </c>
      <c r="D188" s="81" t="s">
        <v>480</v>
      </c>
      <c r="E188" s="129" t="s">
        <v>474</v>
      </c>
      <c r="F188" s="126">
        <v>45159</v>
      </c>
      <c r="G188" s="76" t="s">
        <v>79</v>
      </c>
      <c r="H188" s="61">
        <f>32355</f>
        <v>32355</v>
      </c>
      <c r="I188" s="69">
        <v>0</v>
      </c>
      <c r="J188" s="69">
        <v>0</v>
      </c>
      <c r="K188" s="143"/>
      <c r="L188" s="144">
        <v>0</v>
      </c>
      <c r="M188" s="63">
        <f t="shared" si="0"/>
        <v>32355</v>
      </c>
      <c r="N188" s="63">
        <v>9522</v>
      </c>
      <c r="O188" s="115">
        <f>495</f>
        <v>495</v>
      </c>
      <c r="P188" s="63">
        <v>0</v>
      </c>
      <c r="Q188" s="63">
        <f t="shared" si="1"/>
        <v>469</v>
      </c>
      <c r="R188" s="119">
        <f>187</f>
        <v>187</v>
      </c>
      <c r="S188" s="63">
        <v>0</v>
      </c>
      <c r="T188" s="63">
        <v>0</v>
      </c>
      <c r="U188" s="63">
        <f t="shared" si="2"/>
        <v>10673</v>
      </c>
      <c r="V188" s="63">
        <f t="shared" si="3"/>
        <v>43028</v>
      </c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</row>
    <row r="189" spans="1:58">
      <c r="A189" s="114">
        <v>177</v>
      </c>
      <c r="B189" s="114" t="s">
        <v>382</v>
      </c>
      <c r="C189" s="76" t="s">
        <v>383</v>
      </c>
      <c r="D189" s="81" t="s">
        <v>384</v>
      </c>
      <c r="E189" s="129" t="s">
        <v>475</v>
      </c>
      <c r="F189" s="126">
        <v>43976</v>
      </c>
      <c r="G189" s="76" t="s">
        <v>341</v>
      </c>
      <c r="H189" s="61">
        <f>49731</f>
        <v>49731</v>
      </c>
      <c r="I189" s="69">
        <v>0</v>
      </c>
      <c r="J189" s="69">
        <v>0</v>
      </c>
      <c r="K189" s="143"/>
      <c r="L189" s="144">
        <v>0</v>
      </c>
      <c r="M189" s="63">
        <f t="shared" si="0"/>
        <v>49731</v>
      </c>
      <c r="N189" s="63">
        <v>16831</v>
      </c>
      <c r="O189" s="115">
        <f>495</f>
        <v>495</v>
      </c>
      <c r="P189" s="63">
        <v>0</v>
      </c>
      <c r="Q189" s="63">
        <f t="shared" si="1"/>
        <v>721</v>
      </c>
      <c r="R189" s="119">
        <f>187</f>
        <v>187</v>
      </c>
      <c r="S189" s="63">
        <v>11192</v>
      </c>
      <c r="T189" s="63">
        <v>0</v>
      </c>
      <c r="U189" s="63">
        <f t="shared" si="2"/>
        <v>29426</v>
      </c>
      <c r="V189" s="63">
        <f t="shared" si="3"/>
        <v>79157</v>
      </c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</row>
    <row r="190" spans="1:58">
      <c r="A190" s="114">
        <v>178</v>
      </c>
      <c r="B190" s="114" t="s">
        <v>385</v>
      </c>
      <c r="C190" s="76" t="s">
        <v>289</v>
      </c>
      <c r="D190" s="81" t="s">
        <v>488</v>
      </c>
      <c r="E190" s="129" t="s">
        <v>475</v>
      </c>
      <c r="F190" s="126">
        <v>45404</v>
      </c>
      <c r="G190" s="76" t="s">
        <v>290</v>
      </c>
      <c r="H190" s="61">
        <v>21678</v>
      </c>
      <c r="I190" s="69">
        <v>0</v>
      </c>
      <c r="J190" s="69">
        <v>0</v>
      </c>
      <c r="K190" s="143"/>
      <c r="L190" s="144">
        <v>0</v>
      </c>
      <c r="M190" s="63">
        <f t="shared" si="0"/>
        <v>21678</v>
      </c>
      <c r="N190" s="63">
        <v>14002</v>
      </c>
      <c r="O190" s="115">
        <f>495</f>
        <v>495</v>
      </c>
      <c r="P190" s="63">
        <v>0</v>
      </c>
      <c r="Q190" s="63">
        <f t="shared" si="1"/>
        <v>314</v>
      </c>
      <c r="R190" s="119">
        <f>187</f>
        <v>187</v>
      </c>
      <c r="S190" s="63">
        <v>0</v>
      </c>
      <c r="T190" s="63">
        <v>0</v>
      </c>
      <c r="U190" s="63">
        <f t="shared" si="2"/>
        <v>14998</v>
      </c>
      <c r="V190" s="63">
        <f t="shared" si="3"/>
        <v>36676</v>
      </c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</row>
    <row r="191" spans="1:58">
      <c r="A191" s="114">
        <v>179</v>
      </c>
      <c r="B191" s="114" t="s">
        <v>387</v>
      </c>
      <c r="C191" s="76" t="s">
        <v>388</v>
      </c>
      <c r="D191" s="81" t="s">
        <v>487</v>
      </c>
      <c r="E191" s="129" t="s">
        <v>475</v>
      </c>
      <c r="F191" s="126">
        <v>45399</v>
      </c>
      <c r="G191" s="76" t="s">
        <v>125</v>
      </c>
      <c r="H191" s="61">
        <v>32355</v>
      </c>
      <c r="I191" s="69">
        <v>0</v>
      </c>
      <c r="J191" s="69">
        <v>0</v>
      </c>
      <c r="K191" s="143"/>
      <c r="L191" s="144">
        <v>0</v>
      </c>
      <c r="M191" s="63">
        <f t="shared" si="0"/>
        <v>32355</v>
      </c>
      <c r="N191" s="63">
        <v>12831</v>
      </c>
      <c r="O191" s="115">
        <f>495</f>
        <v>495</v>
      </c>
      <c r="P191" s="63">
        <v>0</v>
      </c>
      <c r="Q191" s="63">
        <f t="shared" si="1"/>
        <v>469</v>
      </c>
      <c r="R191" s="116">
        <f>187</f>
        <v>187</v>
      </c>
      <c r="S191" s="63">
        <v>8310</v>
      </c>
      <c r="T191" s="63">
        <v>486</v>
      </c>
      <c r="U191" s="63">
        <f t="shared" si="2"/>
        <v>22778</v>
      </c>
      <c r="V191" s="63">
        <f t="shared" si="3"/>
        <v>55133</v>
      </c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</row>
    <row r="192" spans="1:58">
      <c r="A192" s="114">
        <v>180</v>
      </c>
      <c r="B192" s="114" t="s">
        <v>389</v>
      </c>
      <c r="C192" s="76" t="s">
        <v>388</v>
      </c>
      <c r="D192" s="81" t="s">
        <v>390</v>
      </c>
      <c r="E192" s="129" t="s">
        <v>475</v>
      </c>
      <c r="F192" s="126">
        <v>45201</v>
      </c>
      <c r="G192" s="76" t="s">
        <v>125</v>
      </c>
      <c r="H192" s="61">
        <f>32355</f>
        <v>32355</v>
      </c>
      <c r="I192" s="69">
        <v>0</v>
      </c>
      <c r="J192" s="69">
        <v>0</v>
      </c>
      <c r="K192" s="143"/>
      <c r="L192" s="144">
        <v>0</v>
      </c>
      <c r="M192" s="63">
        <f t="shared" si="0"/>
        <v>32355</v>
      </c>
      <c r="N192" s="63">
        <v>10950</v>
      </c>
      <c r="O192" s="115">
        <f>495</f>
        <v>495</v>
      </c>
      <c r="P192" s="63">
        <v>0</v>
      </c>
      <c r="Q192" s="63">
        <f t="shared" si="1"/>
        <v>469</v>
      </c>
      <c r="R192" s="116">
        <f>187</f>
        <v>187</v>
      </c>
      <c r="S192" s="63">
        <v>11192</v>
      </c>
      <c r="T192" s="63">
        <v>486</v>
      </c>
      <c r="U192" s="63">
        <f t="shared" si="2"/>
        <v>23779</v>
      </c>
      <c r="V192" s="63">
        <f t="shared" si="3"/>
        <v>56134</v>
      </c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</row>
    <row r="193" spans="1:76">
      <c r="A193" s="114">
        <v>181</v>
      </c>
      <c r="B193" s="114" t="s">
        <v>391</v>
      </c>
      <c r="C193" s="76" t="s">
        <v>386</v>
      </c>
      <c r="D193" s="81" t="s">
        <v>392</v>
      </c>
      <c r="E193" s="129" t="s">
        <v>475</v>
      </c>
      <c r="F193" s="126">
        <v>45138</v>
      </c>
      <c r="G193" s="76" t="s">
        <v>125</v>
      </c>
      <c r="H193" s="61">
        <f>32355</f>
        <v>32355</v>
      </c>
      <c r="I193" s="69">
        <v>0</v>
      </c>
      <c r="J193" s="69">
        <v>0</v>
      </c>
      <c r="K193" s="143"/>
      <c r="L193" s="144">
        <v>0</v>
      </c>
      <c r="M193" s="63">
        <f t="shared" si="0"/>
        <v>32355</v>
      </c>
      <c r="N193" s="63">
        <v>11800</v>
      </c>
      <c r="O193" s="115">
        <f>495</f>
        <v>495</v>
      </c>
      <c r="P193" s="63">
        <v>0</v>
      </c>
      <c r="Q193" s="63">
        <f t="shared" si="1"/>
        <v>469</v>
      </c>
      <c r="R193" s="116">
        <f>187</f>
        <v>187</v>
      </c>
      <c r="S193" s="63">
        <v>8310</v>
      </c>
      <c r="T193" s="63">
        <v>486</v>
      </c>
      <c r="U193" s="63">
        <f t="shared" si="2"/>
        <v>21747</v>
      </c>
      <c r="V193" s="63">
        <f t="shared" si="3"/>
        <v>54102</v>
      </c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</row>
    <row r="194" spans="1:76">
      <c r="A194" s="114">
        <v>182</v>
      </c>
      <c r="B194" s="114" t="s">
        <v>393</v>
      </c>
      <c r="C194" s="76" t="s">
        <v>388</v>
      </c>
      <c r="D194" s="81" t="s">
        <v>129</v>
      </c>
      <c r="E194" s="129" t="s">
        <v>475</v>
      </c>
      <c r="F194" s="126"/>
      <c r="G194" s="76" t="s">
        <v>125</v>
      </c>
      <c r="H194" s="61">
        <f>32355</f>
        <v>32355</v>
      </c>
      <c r="I194" s="69">
        <v>0</v>
      </c>
      <c r="J194" s="69">
        <v>0</v>
      </c>
      <c r="K194" s="143"/>
      <c r="L194" s="144">
        <v>0</v>
      </c>
      <c r="M194" s="63">
        <f t="shared" si="0"/>
        <v>32355</v>
      </c>
      <c r="N194" s="63">
        <v>10950</v>
      </c>
      <c r="O194" s="115">
        <f>495</f>
        <v>495</v>
      </c>
      <c r="P194" s="63">
        <v>0</v>
      </c>
      <c r="Q194" s="63">
        <f t="shared" si="1"/>
        <v>469</v>
      </c>
      <c r="R194" s="116">
        <f>187</f>
        <v>187</v>
      </c>
      <c r="S194" s="63">
        <v>8310</v>
      </c>
      <c r="T194" s="63">
        <v>486</v>
      </c>
      <c r="U194" s="63">
        <f t="shared" si="2"/>
        <v>20897</v>
      </c>
      <c r="V194" s="63">
        <f t="shared" si="3"/>
        <v>53252</v>
      </c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</row>
    <row r="195" spans="1:76">
      <c r="A195" s="114">
        <v>183</v>
      </c>
      <c r="B195" s="114" t="s">
        <v>394</v>
      </c>
      <c r="C195" s="76" t="s">
        <v>395</v>
      </c>
      <c r="D195" s="81" t="s">
        <v>467</v>
      </c>
      <c r="E195" s="129" t="s">
        <v>475</v>
      </c>
      <c r="F195" s="126">
        <v>45183</v>
      </c>
      <c r="G195" s="76" t="s">
        <v>312</v>
      </c>
      <c r="H195" s="61">
        <f>32355</f>
        <v>32355</v>
      </c>
      <c r="I195" s="69">
        <v>0</v>
      </c>
      <c r="J195" s="69">
        <v>0</v>
      </c>
      <c r="K195" s="143"/>
      <c r="L195" s="144">
        <v>0</v>
      </c>
      <c r="M195" s="63">
        <f t="shared" si="0"/>
        <v>32355</v>
      </c>
      <c r="N195" s="63">
        <v>10950</v>
      </c>
      <c r="O195" s="115">
        <f>495</f>
        <v>495</v>
      </c>
      <c r="P195" s="63">
        <v>0</v>
      </c>
      <c r="Q195" s="63">
        <f t="shared" si="1"/>
        <v>469</v>
      </c>
      <c r="R195" s="116">
        <f>187</f>
        <v>187</v>
      </c>
      <c r="S195" s="63">
        <v>4801</v>
      </c>
      <c r="T195" s="63">
        <v>342</v>
      </c>
      <c r="U195" s="63">
        <f t="shared" si="2"/>
        <v>17244</v>
      </c>
      <c r="V195" s="63">
        <f t="shared" si="3"/>
        <v>49599</v>
      </c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</row>
    <row r="196" spans="1:76">
      <c r="A196" s="114">
        <v>184</v>
      </c>
      <c r="B196" s="114" t="s">
        <v>396</v>
      </c>
      <c r="C196" s="76" t="s">
        <v>386</v>
      </c>
      <c r="D196" s="81" t="s">
        <v>484</v>
      </c>
      <c r="E196" s="129" t="s">
        <v>475</v>
      </c>
      <c r="F196" s="126">
        <v>45271</v>
      </c>
      <c r="G196" s="76" t="s">
        <v>290</v>
      </c>
      <c r="H196" s="61">
        <v>21678</v>
      </c>
      <c r="I196" s="69">
        <v>0</v>
      </c>
      <c r="J196" s="69">
        <v>0</v>
      </c>
      <c r="K196" s="143"/>
      <c r="L196" s="144">
        <v>0</v>
      </c>
      <c r="M196" s="63">
        <f t="shared" si="0"/>
        <v>21678</v>
      </c>
      <c r="N196" s="63">
        <v>10950</v>
      </c>
      <c r="O196" s="115">
        <f>495</f>
        <v>495</v>
      </c>
      <c r="P196" s="63">
        <v>0</v>
      </c>
      <c r="Q196" s="63">
        <f t="shared" si="1"/>
        <v>314</v>
      </c>
      <c r="R196" s="116">
        <f>187</f>
        <v>187</v>
      </c>
      <c r="S196" s="63">
        <v>0</v>
      </c>
      <c r="T196" s="63">
        <v>0</v>
      </c>
      <c r="U196" s="63">
        <f t="shared" si="2"/>
        <v>11946</v>
      </c>
      <c r="V196" s="63">
        <f t="shared" si="3"/>
        <v>33624</v>
      </c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</row>
    <row r="197" spans="1:76">
      <c r="A197" s="114">
        <v>185</v>
      </c>
      <c r="B197" s="114" t="s">
        <v>397</v>
      </c>
      <c r="C197" s="76" t="s">
        <v>395</v>
      </c>
      <c r="D197" s="81" t="s">
        <v>129</v>
      </c>
      <c r="E197" s="129" t="s">
        <v>475</v>
      </c>
      <c r="F197" s="126"/>
      <c r="G197" s="76" t="s">
        <v>125</v>
      </c>
      <c r="H197" s="61">
        <f>32355</f>
        <v>32355</v>
      </c>
      <c r="I197" s="69">
        <v>0</v>
      </c>
      <c r="J197" s="69">
        <v>0</v>
      </c>
      <c r="K197" s="143"/>
      <c r="L197" s="144">
        <v>0</v>
      </c>
      <c r="M197" s="63">
        <f t="shared" si="0"/>
        <v>32355</v>
      </c>
      <c r="N197" s="63">
        <v>10950</v>
      </c>
      <c r="O197" s="115">
        <f>495</f>
        <v>495</v>
      </c>
      <c r="P197" s="63">
        <v>0</v>
      </c>
      <c r="Q197" s="63">
        <f t="shared" si="1"/>
        <v>469</v>
      </c>
      <c r="R197" s="116">
        <f>187</f>
        <v>187</v>
      </c>
      <c r="S197" s="63">
        <v>0</v>
      </c>
      <c r="T197" s="63">
        <v>0</v>
      </c>
      <c r="U197" s="63">
        <f t="shared" si="2"/>
        <v>12101</v>
      </c>
      <c r="V197" s="63">
        <f t="shared" si="3"/>
        <v>44456</v>
      </c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</row>
    <row r="198" spans="1:76">
      <c r="A198" s="114">
        <v>186</v>
      </c>
      <c r="B198" s="114" t="s">
        <v>398</v>
      </c>
      <c r="C198" s="76" t="s">
        <v>388</v>
      </c>
      <c r="D198" s="81" t="s">
        <v>436</v>
      </c>
      <c r="E198" s="129" t="s">
        <v>475</v>
      </c>
      <c r="F198" s="126">
        <v>45159</v>
      </c>
      <c r="G198" s="76" t="s">
        <v>125</v>
      </c>
      <c r="H198" s="61">
        <f>32355</f>
        <v>32355</v>
      </c>
      <c r="I198" s="69">
        <v>0</v>
      </c>
      <c r="J198" s="69">
        <v>0</v>
      </c>
      <c r="K198" s="143"/>
      <c r="L198" s="144">
        <v>0</v>
      </c>
      <c r="M198" s="63">
        <f t="shared" si="0"/>
        <v>32355</v>
      </c>
      <c r="N198" s="63">
        <v>10950</v>
      </c>
      <c r="O198" s="115">
        <f>495</f>
        <v>495</v>
      </c>
      <c r="P198" s="63">
        <v>0</v>
      </c>
      <c r="Q198" s="63">
        <f t="shared" si="1"/>
        <v>469</v>
      </c>
      <c r="R198" s="116">
        <f>187</f>
        <v>187</v>
      </c>
      <c r="S198" s="63">
        <v>8551</v>
      </c>
      <c r="T198" s="63">
        <v>342</v>
      </c>
      <c r="U198" s="63">
        <f t="shared" si="2"/>
        <v>20994</v>
      </c>
      <c r="V198" s="63">
        <f t="shared" si="3"/>
        <v>53349</v>
      </c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</row>
    <row r="199" spans="1:76">
      <c r="A199" s="114">
        <v>187</v>
      </c>
      <c r="B199" s="114" t="s">
        <v>440</v>
      </c>
      <c r="C199" s="76" t="s">
        <v>386</v>
      </c>
      <c r="D199" s="81" t="s">
        <v>470</v>
      </c>
      <c r="E199" s="129" t="s">
        <v>476</v>
      </c>
      <c r="F199" s="126">
        <v>44977</v>
      </c>
      <c r="G199" s="76" t="s">
        <v>290</v>
      </c>
      <c r="H199" s="61">
        <v>21678</v>
      </c>
      <c r="I199" s="69">
        <v>0</v>
      </c>
      <c r="J199" s="69">
        <v>0</v>
      </c>
      <c r="K199" s="143"/>
      <c r="L199" s="144">
        <v>0</v>
      </c>
      <c r="M199" s="63">
        <f t="shared" ref="M199" si="30">(+H199+I199+J199+L199)</f>
        <v>21678</v>
      </c>
      <c r="N199" s="63">
        <f t="shared" ref="N199" si="31">ROUND((M199*0.2943),0)/2</f>
        <v>3190</v>
      </c>
      <c r="O199" s="63">
        <f>248</f>
        <v>248</v>
      </c>
      <c r="P199" s="63">
        <v>0</v>
      </c>
      <c r="Q199" s="63">
        <f t="shared" si="1"/>
        <v>314</v>
      </c>
      <c r="R199" s="63">
        <f>94</f>
        <v>94</v>
      </c>
      <c r="S199" s="63">
        <v>8551</v>
      </c>
      <c r="T199" s="63">
        <v>342</v>
      </c>
      <c r="U199" s="63">
        <f t="shared" si="2"/>
        <v>12739</v>
      </c>
      <c r="V199" s="63">
        <f t="shared" si="3"/>
        <v>34417</v>
      </c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</row>
    <row r="200" spans="1:76">
      <c r="A200" s="39"/>
      <c r="B200" s="39"/>
      <c r="C200" s="52"/>
      <c r="D200" s="52"/>
      <c r="E200" s="73"/>
      <c r="F200" s="73"/>
      <c r="G200" s="52"/>
      <c r="H200" s="48">
        <v>0</v>
      </c>
      <c r="I200" s="41">
        <v>0</v>
      </c>
      <c r="J200" s="41">
        <v>0</v>
      </c>
      <c r="K200" s="145"/>
      <c r="L200" s="146">
        <v>0</v>
      </c>
      <c r="M200" s="45">
        <f t="shared" si="0"/>
        <v>0</v>
      </c>
      <c r="N200" s="45">
        <f t="shared" si="4"/>
        <v>0</v>
      </c>
      <c r="O200" s="45">
        <v>0</v>
      </c>
      <c r="P200" s="45">
        <v>0</v>
      </c>
      <c r="Q200" s="45">
        <f t="shared" si="1"/>
        <v>0</v>
      </c>
      <c r="R200" s="45">
        <v>0</v>
      </c>
      <c r="S200" s="45">
        <v>0</v>
      </c>
      <c r="T200" s="45">
        <v>0</v>
      </c>
      <c r="U200" s="45">
        <f t="shared" si="2"/>
        <v>0</v>
      </c>
      <c r="V200" s="45">
        <f t="shared" si="3"/>
        <v>0</v>
      </c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</row>
    <row r="201" spans="1:76">
      <c r="A201" s="53"/>
      <c r="B201" s="53"/>
      <c r="C201" s="53"/>
      <c r="D201" s="54" t="s">
        <v>83</v>
      </c>
      <c r="E201" s="98"/>
      <c r="F201" s="98"/>
      <c r="G201" s="156" t="s">
        <v>84</v>
      </c>
      <c r="H201" s="55">
        <f>SUM(H13:H200)</f>
        <v>5409573.6500000004</v>
      </c>
      <c r="I201" s="55">
        <f>SUM(I13:I200)</f>
        <v>0</v>
      </c>
      <c r="J201" s="55">
        <f>SUM(J13:J200)</f>
        <v>0</v>
      </c>
      <c r="K201" s="169" t="s">
        <v>84</v>
      </c>
      <c r="L201" s="55">
        <f t="shared" ref="L201:V201" si="32">SUM(L13:L200)</f>
        <v>12428.25</v>
      </c>
      <c r="M201" s="55">
        <f t="shared" si="32"/>
        <v>5422001.9000000004</v>
      </c>
      <c r="N201" s="55">
        <f t="shared" si="32"/>
        <v>1617987</v>
      </c>
      <c r="O201" s="55">
        <f t="shared" si="32"/>
        <v>58163</v>
      </c>
      <c r="P201" s="55">
        <f t="shared" si="32"/>
        <v>0</v>
      </c>
      <c r="Q201" s="42">
        <f t="shared" si="32"/>
        <v>78611</v>
      </c>
      <c r="R201" s="42">
        <f t="shared" si="32"/>
        <v>22721</v>
      </c>
      <c r="S201" s="42">
        <f t="shared" si="32"/>
        <v>949401</v>
      </c>
      <c r="T201" s="42">
        <f t="shared" si="32"/>
        <v>42537</v>
      </c>
      <c r="U201" s="42">
        <f t="shared" si="32"/>
        <v>2769420</v>
      </c>
      <c r="V201" s="42">
        <f t="shared" si="32"/>
        <v>8191421.9000000004</v>
      </c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</row>
    <row r="202" spans="1:76">
      <c r="A202" s="5"/>
      <c r="B202" s="5"/>
      <c r="C202" s="5"/>
      <c r="D202" s="5"/>
      <c r="E202" s="99"/>
      <c r="F202" s="9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</row>
    <row r="203" spans="1:76">
      <c r="A203" s="5"/>
      <c r="B203" s="5"/>
      <c r="C203" s="5"/>
      <c r="D203" s="5"/>
      <c r="E203" s="99"/>
      <c r="F203" s="9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</row>
    <row r="204" spans="1:76">
      <c r="A204" s="5"/>
      <c r="B204" s="5"/>
      <c r="C204" s="202"/>
      <c r="D204" s="215"/>
      <c r="E204" s="99"/>
      <c r="F204" s="9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76">
      <c r="A205" s="5"/>
      <c r="B205" s="5"/>
      <c r="C205" s="215"/>
      <c r="D205" s="215"/>
      <c r="E205" s="99"/>
      <c r="F205" s="9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</row>
    <row r="206" spans="1:76">
      <c r="A206" s="5"/>
      <c r="B206" s="5"/>
      <c r="C206" s="211"/>
      <c r="D206" s="215"/>
      <c r="E206" s="99"/>
      <c r="F206" s="9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</row>
    <row r="207" spans="1:76">
      <c r="A207" s="5"/>
      <c r="B207" s="5"/>
      <c r="C207" s="211"/>
      <c r="D207" s="215"/>
      <c r="E207" s="99"/>
      <c r="F207" s="9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</row>
    <row r="208" spans="1:76">
      <c r="A208" s="5"/>
      <c r="B208" s="5"/>
      <c r="C208" s="215"/>
      <c r="D208" s="215"/>
      <c r="E208" s="99"/>
      <c r="F208" s="9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>
      <c r="A209" s="5"/>
      <c r="B209" s="5"/>
      <c r="C209" s="5"/>
      <c r="D209" s="5"/>
      <c r="E209" s="99"/>
      <c r="F209" s="9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>
      <c r="A210" s="5"/>
      <c r="B210" s="5"/>
      <c r="C210" s="5"/>
      <c r="D210" s="5"/>
      <c r="E210" s="99"/>
      <c r="F210" s="9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>
      <c r="A211" s="5"/>
      <c r="B211" s="5"/>
      <c r="C211" s="5"/>
      <c r="D211" s="5"/>
      <c r="E211" s="99"/>
      <c r="F211" s="9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>
      <c r="A212" s="5"/>
      <c r="B212" s="5"/>
      <c r="C212" s="5"/>
      <c r="D212" s="5"/>
      <c r="E212" s="99"/>
      <c r="F212" s="9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>
      <c r="A213" s="5"/>
      <c r="B213" s="5"/>
      <c r="C213" s="5"/>
      <c r="D213" s="5"/>
      <c r="E213" s="99"/>
      <c r="F213" s="9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>
      <c r="A214" s="5"/>
      <c r="B214" s="5"/>
      <c r="C214" s="5"/>
      <c r="D214" s="5"/>
      <c r="E214" s="99"/>
      <c r="F214" s="9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>
      <c r="A215" s="5"/>
      <c r="B215" s="5"/>
      <c r="C215" s="5"/>
      <c r="D215" s="5"/>
      <c r="E215" s="99"/>
      <c r="F215" s="9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>
      <c r="A216" s="5"/>
      <c r="B216" s="5"/>
      <c r="C216" s="5"/>
      <c r="D216" s="5"/>
      <c r="E216" s="99"/>
      <c r="F216" s="9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>
      <c r="A217" s="5"/>
      <c r="B217" s="5"/>
      <c r="C217" s="5"/>
      <c r="D217" s="5"/>
      <c r="E217" s="99"/>
      <c r="F217" s="9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>
      <c r="A218" s="5"/>
      <c r="B218" s="5"/>
      <c r="C218" s="5"/>
      <c r="D218" s="5"/>
      <c r="E218" s="99"/>
      <c r="F218" s="9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>
      <c r="A219" s="5"/>
      <c r="B219" s="5"/>
      <c r="C219" s="5"/>
      <c r="D219" s="5"/>
      <c r="E219" s="99"/>
      <c r="F219" s="9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>
      <c r="A220" s="5"/>
      <c r="B220" s="5"/>
      <c r="C220" s="5"/>
      <c r="D220" s="5"/>
      <c r="E220" s="99"/>
      <c r="F220" s="9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>
      <c r="A221" s="5"/>
      <c r="B221" s="5"/>
      <c r="C221" s="5"/>
      <c r="D221" s="5"/>
      <c r="E221" s="99"/>
      <c r="F221" s="9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</sheetData>
  <mergeCells count="1">
    <mergeCell ref="K10:L11"/>
  </mergeCells>
  <printOptions horizontalCentered="1"/>
  <pageMargins left="0.2" right="0.2" top="1.07" bottom="0.25" header="0.3" footer="0.3"/>
  <pageSetup paperSize="5" scale="65" orientation="landscape" r:id="rId1"/>
  <headerFooter>
    <oddHeader>&amp;C&amp;"Times New Roman,Bold"Government of Guam 
Fiscal Year 2024
Agency Staffing Pattern
(CURRENT)&amp;R&amp;"Times New Roman,Bold"[BBMR SP-1]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GDOL FY 25 2nd. QTR.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Mafnas</dc:creator>
  <cp:lastModifiedBy>Nicole Meno</cp:lastModifiedBy>
  <cp:lastPrinted>2024-03-05T01:58:46Z</cp:lastPrinted>
  <dcterms:created xsi:type="dcterms:W3CDTF">2024-03-01T05:24:31Z</dcterms:created>
  <dcterms:modified xsi:type="dcterms:W3CDTF">2025-04-22T04:06:48Z</dcterms:modified>
</cp:coreProperties>
</file>