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T:\PL37-42 Staffing Pattern Report\FY2025\"/>
    </mc:Choice>
  </mc:AlternateContent>
  <xr:revisionPtr revIDLastSave="0" documentId="13_ncr:1_{EF8BBDA9-6E27-43E1-9AC3-4D009CD60E70}" xr6:coauthVersionLast="47" xr6:coauthVersionMax="47" xr10:uidLastSave="{00000000-0000-0000-0000-000000000000}"/>
  <bookViews>
    <workbookView xWindow="28680" yWindow="-120" windowWidth="29040" windowHeight="15720" tabRatio="944" xr2:uid="{F997665F-BD27-4945-BAB8-6E4E62805A57}"/>
  </bookViews>
  <sheets>
    <sheet name="GDOL FY 25 3rd. QTR.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50" i="1" l="1"/>
  <c r="L72" i="1"/>
  <c r="L155" i="1"/>
  <c r="L147" i="1"/>
  <c r="L86" i="1"/>
  <c r="H78" i="1" l="1"/>
  <c r="L174" i="1" l="1"/>
  <c r="L173" i="1"/>
  <c r="L161" i="1"/>
  <c r="L128" i="1"/>
  <c r="L126" i="1"/>
  <c r="L125" i="1"/>
  <c r="L124" i="1"/>
  <c r="L115" i="1"/>
  <c r="L110" i="1"/>
  <c r="L107" i="1"/>
  <c r="L106" i="1"/>
  <c r="L105" i="1"/>
  <c r="L92" i="1" l="1"/>
  <c r="L91" i="1"/>
  <c r="L90" i="1" l="1"/>
  <c r="M87" i="1"/>
  <c r="N87" i="1" s="1"/>
  <c r="R86" i="1"/>
  <c r="O86" i="1"/>
  <c r="M86" i="1"/>
  <c r="N86" i="1" s="1"/>
  <c r="M84" i="1"/>
  <c r="N84" i="1" s="1"/>
  <c r="L85" i="1"/>
  <c r="L83" i="1"/>
  <c r="L80" i="1"/>
  <c r="Q84" i="1" l="1"/>
  <c r="U84" i="1" s="1"/>
  <c r="V84" i="1" s="1"/>
  <c r="Q87" i="1"/>
  <c r="U87" i="1" s="1"/>
  <c r="V87" i="1" s="1"/>
  <c r="Q86" i="1"/>
  <c r="U86" i="1"/>
  <c r="V86" i="1" s="1"/>
  <c r="L76" i="1" l="1"/>
  <c r="L74" i="1"/>
  <c r="L73" i="1"/>
  <c r="L71" i="1"/>
  <c r="L61" i="1"/>
  <c r="L15" i="1"/>
  <c r="L55" i="1"/>
  <c r="L51" i="1"/>
  <c r="L48" i="1" l="1"/>
  <c r="L132" i="1" l="1"/>
  <c r="L131" i="1"/>
  <c r="L138" i="1" l="1"/>
  <c r="L139" i="1"/>
  <c r="L140" i="1"/>
  <c r="L141" i="1"/>
  <c r="L148" i="1"/>
  <c r="L149" i="1"/>
  <c r="L160" i="1"/>
  <c r="L165" i="1"/>
  <c r="M175" i="1"/>
  <c r="Q175" i="1" s="1"/>
  <c r="N175" i="1"/>
  <c r="U175" i="1" s="1"/>
  <c r="M176" i="1"/>
  <c r="Q176" i="1" s="1"/>
  <c r="N176" i="1"/>
  <c r="L40" i="1"/>
  <c r="M40" i="1" s="1"/>
  <c r="L39" i="1"/>
  <c r="L70" i="1"/>
  <c r="L26" i="1"/>
  <c r="L112" i="1"/>
  <c r="R127" i="1"/>
  <c r="O127" i="1"/>
  <c r="R178" i="1"/>
  <c r="O178" i="1"/>
  <c r="H178" i="1"/>
  <c r="M178" i="1" s="1"/>
  <c r="M24" i="1"/>
  <c r="N24" i="1" s="1"/>
  <c r="T13" i="1"/>
  <c r="R189" i="1"/>
  <c r="R188" i="1"/>
  <c r="R187" i="1"/>
  <c r="R186" i="1"/>
  <c r="R185" i="1"/>
  <c r="R184" i="1"/>
  <c r="R183" i="1"/>
  <c r="R182" i="1"/>
  <c r="R181" i="1"/>
  <c r="R180" i="1"/>
  <c r="R179" i="1"/>
  <c r="R177" i="1"/>
  <c r="R174" i="1"/>
  <c r="R173" i="1"/>
  <c r="R168" i="1"/>
  <c r="R166" i="1"/>
  <c r="R165" i="1"/>
  <c r="R161" i="1"/>
  <c r="R162" i="1"/>
  <c r="R163" i="1"/>
  <c r="R160" i="1"/>
  <c r="R155" i="1"/>
  <c r="R147" i="1"/>
  <c r="R148" i="1"/>
  <c r="R149" i="1"/>
  <c r="R150" i="1"/>
  <c r="R146" i="1"/>
  <c r="R139" i="1"/>
  <c r="R140" i="1"/>
  <c r="R141" i="1"/>
  <c r="R138" i="1"/>
  <c r="R136" i="1"/>
  <c r="R129" i="1"/>
  <c r="R131" i="1"/>
  <c r="R132" i="1"/>
  <c r="R128" i="1"/>
  <c r="R125" i="1"/>
  <c r="R126" i="1"/>
  <c r="R124" i="1"/>
  <c r="R122" i="1"/>
  <c r="R119" i="1"/>
  <c r="R120" i="1"/>
  <c r="R118" i="1"/>
  <c r="R110" i="1"/>
  <c r="R111" i="1"/>
  <c r="R109" i="1"/>
  <c r="R112" i="1"/>
  <c r="R115" i="1"/>
  <c r="R106" i="1"/>
  <c r="R105" i="1"/>
  <c r="R102" i="1"/>
  <c r="R103" i="1"/>
  <c r="R100" i="1"/>
  <c r="R98" i="1"/>
  <c r="R96" i="1"/>
  <c r="R89" i="1"/>
  <c r="R90" i="1"/>
  <c r="R91" i="1"/>
  <c r="R92" i="1"/>
  <c r="R88" i="1"/>
  <c r="R85" i="1"/>
  <c r="R83" i="1"/>
  <c r="R82" i="1"/>
  <c r="R80" i="1"/>
  <c r="R71" i="1"/>
  <c r="R72" i="1"/>
  <c r="R73" i="1"/>
  <c r="R74" i="1"/>
  <c r="R75" i="1"/>
  <c r="R76" i="1"/>
  <c r="R77" i="1"/>
  <c r="R78" i="1"/>
  <c r="R70" i="1"/>
  <c r="R60" i="1"/>
  <c r="R61" i="1"/>
  <c r="R62" i="1"/>
  <c r="R63" i="1"/>
  <c r="R64" i="1"/>
  <c r="R65" i="1"/>
  <c r="R59" i="1"/>
  <c r="R55" i="1"/>
  <c r="R54" i="1"/>
  <c r="R45" i="1"/>
  <c r="R46" i="1"/>
  <c r="R47" i="1"/>
  <c r="R48" i="1"/>
  <c r="R49" i="1"/>
  <c r="R50" i="1"/>
  <c r="R43" i="1"/>
  <c r="R40" i="1"/>
  <c r="R39" i="1"/>
  <c r="R32" i="1"/>
  <c r="R31" i="1"/>
  <c r="R28" i="1"/>
  <c r="R26" i="1"/>
  <c r="R18" i="1"/>
  <c r="R20" i="1"/>
  <c r="R17" i="1"/>
  <c r="R14" i="1"/>
  <c r="R15" i="1"/>
  <c r="R13" i="1"/>
  <c r="O189" i="1"/>
  <c r="O188" i="1"/>
  <c r="O187" i="1"/>
  <c r="O186" i="1"/>
  <c r="O185" i="1"/>
  <c r="O184" i="1"/>
  <c r="O183" i="1"/>
  <c r="O182" i="1"/>
  <c r="O181" i="1"/>
  <c r="O180" i="1"/>
  <c r="O179" i="1"/>
  <c r="O177" i="1"/>
  <c r="O174" i="1"/>
  <c r="O173" i="1"/>
  <c r="O168" i="1"/>
  <c r="O166" i="1"/>
  <c r="O165" i="1"/>
  <c r="O163" i="1"/>
  <c r="O162" i="1"/>
  <c r="O161" i="1"/>
  <c r="O160" i="1"/>
  <c r="O149" i="1"/>
  <c r="O148" i="1"/>
  <c r="O147" i="1"/>
  <c r="O146" i="1"/>
  <c r="O141" i="1"/>
  <c r="O140" i="1"/>
  <c r="O139" i="1"/>
  <c r="O138" i="1"/>
  <c r="O136" i="1"/>
  <c r="O132" i="1"/>
  <c r="O131" i="1"/>
  <c r="O129" i="1"/>
  <c r="O126" i="1"/>
  <c r="O125" i="1"/>
  <c r="O124" i="1"/>
  <c r="O122" i="1"/>
  <c r="O120" i="1"/>
  <c r="O119" i="1"/>
  <c r="O118" i="1"/>
  <c r="O115" i="1"/>
  <c r="O112" i="1"/>
  <c r="O111" i="1"/>
  <c r="O110" i="1"/>
  <c r="O109" i="1"/>
  <c r="O106" i="1"/>
  <c r="O103" i="1"/>
  <c r="O102" i="1"/>
  <c r="O100" i="1"/>
  <c r="O98" i="1"/>
  <c r="O96" i="1"/>
  <c r="O92" i="1"/>
  <c r="O91" i="1"/>
  <c r="O90" i="1"/>
  <c r="O89" i="1"/>
  <c r="O88" i="1"/>
  <c r="O85" i="1"/>
  <c r="O83" i="1"/>
  <c r="O82" i="1"/>
  <c r="O78" i="1"/>
  <c r="O77" i="1"/>
  <c r="O76" i="1"/>
  <c r="O75" i="1"/>
  <c r="O74" i="1"/>
  <c r="O73" i="1"/>
  <c r="O72" i="1"/>
  <c r="O71" i="1"/>
  <c r="O70" i="1"/>
  <c r="O65" i="1"/>
  <c r="O64" i="1"/>
  <c r="O63" i="1"/>
  <c r="O62" i="1"/>
  <c r="O61" i="1"/>
  <c r="O60" i="1"/>
  <c r="O59" i="1"/>
  <c r="O55" i="1"/>
  <c r="O54" i="1"/>
  <c r="O50" i="1"/>
  <c r="O49" i="1"/>
  <c r="O48" i="1"/>
  <c r="O47" i="1"/>
  <c r="O46" i="1"/>
  <c r="O45" i="1"/>
  <c r="O43" i="1"/>
  <c r="O40" i="1"/>
  <c r="O39" i="1"/>
  <c r="O34" i="1"/>
  <c r="O32" i="1"/>
  <c r="O31" i="1"/>
  <c r="O28" i="1"/>
  <c r="O26" i="1"/>
  <c r="O20" i="1"/>
  <c r="O18" i="1"/>
  <c r="O17" i="1"/>
  <c r="O15" i="1"/>
  <c r="O14" i="1"/>
  <c r="O13" i="1"/>
  <c r="H188" i="1"/>
  <c r="H187" i="1"/>
  <c r="H186" i="1"/>
  <c r="H185" i="1"/>
  <c r="H184" i="1"/>
  <c r="H183" i="1"/>
  <c r="H181" i="1"/>
  <c r="H180" i="1"/>
  <c r="H166" i="1"/>
  <c r="H162" i="1"/>
  <c r="H155" i="1"/>
  <c r="H150" i="1"/>
  <c r="H146" i="1"/>
  <c r="H139" i="1"/>
  <c r="H136" i="1"/>
  <c r="H129" i="1"/>
  <c r="H128" i="1"/>
  <c r="H122" i="1"/>
  <c r="H120" i="1"/>
  <c r="H119" i="1"/>
  <c r="H118" i="1"/>
  <c r="H111" i="1"/>
  <c r="H103" i="1"/>
  <c r="H102" i="1"/>
  <c r="H100" i="1"/>
  <c r="H96" i="1"/>
  <c r="H89" i="1"/>
  <c r="H88" i="1"/>
  <c r="H82" i="1"/>
  <c r="H80" i="1"/>
  <c r="H77" i="1"/>
  <c r="H65" i="1"/>
  <c r="H64" i="1"/>
  <c r="H63" i="1"/>
  <c r="H62" i="1"/>
  <c r="H60" i="1"/>
  <c r="H54" i="1"/>
  <c r="H49" i="1"/>
  <c r="H47" i="1"/>
  <c r="H46" i="1"/>
  <c r="H45" i="1"/>
  <c r="H43" i="1"/>
  <c r="H39" i="1"/>
  <c r="H32" i="1"/>
  <c r="H31" i="1"/>
  <c r="H28" i="1"/>
  <c r="H26" i="1"/>
  <c r="H17" i="1"/>
  <c r="H14" i="1"/>
  <c r="H13" i="1"/>
  <c r="L88" i="1"/>
  <c r="U176" i="1" l="1"/>
  <c r="V176" i="1" s="1"/>
  <c r="V175" i="1"/>
  <c r="Q178" i="1"/>
  <c r="U178" i="1" s="1"/>
  <c r="V178" i="1" s="1"/>
  <c r="Q24" i="1"/>
  <c r="U24" i="1" s="1"/>
  <c r="V24" i="1" s="1"/>
  <c r="M138" i="1"/>
  <c r="M189" i="1" l="1"/>
  <c r="M179" i="1"/>
  <c r="Q179" i="1" s="1"/>
  <c r="U179" i="1" s="1"/>
  <c r="M91" i="1"/>
  <c r="M92" i="1"/>
  <c r="M93" i="1"/>
  <c r="M94" i="1"/>
  <c r="M177" i="1"/>
  <c r="Q177" i="1" s="1"/>
  <c r="U177" i="1" s="1"/>
  <c r="V177" i="1" s="1"/>
  <c r="M180" i="1"/>
  <c r="Q180" i="1" s="1"/>
  <c r="U180" i="1" s="1"/>
  <c r="V180" i="1" s="1"/>
  <c r="M181" i="1"/>
  <c r="Q181" i="1" s="1"/>
  <c r="U181" i="1" s="1"/>
  <c r="M182" i="1"/>
  <c r="Q182" i="1" s="1"/>
  <c r="U182" i="1" s="1"/>
  <c r="M183" i="1"/>
  <c r="Q183" i="1" s="1"/>
  <c r="U183" i="1" s="1"/>
  <c r="M184" i="1"/>
  <c r="M185" i="1"/>
  <c r="Q185" i="1" s="1"/>
  <c r="U185" i="1" s="1"/>
  <c r="V185" i="1" s="1"/>
  <c r="M186" i="1"/>
  <c r="Q186" i="1" s="1"/>
  <c r="U186" i="1" s="1"/>
  <c r="V186" i="1" s="1"/>
  <c r="M187" i="1"/>
  <c r="Q187" i="1" s="1"/>
  <c r="U187" i="1" s="1"/>
  <c r="V187" i="1" s="1"/>
  <c r="M188" i="1"/>
  <c r="Q188" i="1" s="1"/>
  <c r="U188" i="1" s="1"/>
  <c r="M83" i="1"/>
  <c r="M85" i="1"/>
  <c r="M173" i="1"/>
  <c r="M174" i="1"/>
  <c r="M60" i="1"/>
  <c r="M61" i="1"/>
  <c r="M62" i="1"/>
  <c r="M63" i="1"/>
  <c r="M64" i="1"/>
  <c r="M55" i="1"/>
  <c r="M56" i="1"/>
  <c r="M57" i="1"/>
  <c r="M58" i="1"/>
  <c r="M59" i="1"/>
  <c r="M65" i="1"/>
  <c r="M107" i="1"/>
  <c r="Q189" i="1" l="1"/>
  <c r="N189" i="1"/>
  <c r="Q91" i="1"/>
  <c r="N91" i="1"/>
  <c r="N92" i="1"/>
  <c r="Q92" i="1"/>
  <c r="N93" i="1"/>
  <c r="Q93" i="1"/>
  <c r="Q94" i="1"/>
  <c r="N94" i="1"/>
  <c r="V188" i="1"/>
  <c r="V179" i="1"/>
  <c r="V182" i="1"/>
  <c r="V181" i="1"/>
  <c r="V183" i="1"/>
  <c r="Q184" i="1"/>
  <c r="U184" i="1" s="1"/>
  <c r="V184" i="1" s="1"/>
  <c r="Q85" i="1"/>
  <c r="N85" i="1"/>
  <c r="N83" i="1"/>
  <c r="Q83" i="1"/>
  <c r="Q173" i="1"/>
  <c r="N173" i="1"/>
  <c r="Q174" i="1"/>
  <c r="N174" i="1"/>
  <c r="Q60" i="1"/>
  <c r="N60" i="1"/>
  <c r="Q55" i="1"/>
  <c r="N55" i="1"/>
  <c r="Q56" i="1"/>
  <c r="N56" i="1"/>
  <c r="Q57" i="1"/>
  <c r="N57" i="1"/>
  <c r="Q58" i="1"/>
  <c r="N58" i="1"/>
  <c r="Q59" i="1"/>
  <c r="N59" i="1"/>
  <c r="Q61" i="1"/>
  <c r="N61" i="1"/>
  <c r="Q62" i="1"/>
  <c r="N62" i="1"/>
  <c r="N63" i="1"/>
  <c r="Q63" i="1"/>
  <c r="Q64" i="1"/>
  <c r="N64" i="1"/>
  <c r="Q65" i="1"/>
  <c r="N65" i="1"/>
  <c r="Q107" i="1"/>
  <c r="N107" i="1"/>
  <c r="U189" i="1" l="1"/>
  <c r="V189" i="1" s="1"/>
  <c r="U55" i="1"/>
  <c r="V55" i="1" s="1"/>
  <c r="U91" i="1"/>
  <c r="V91" i="1" s="1"/>
  <c r="U94" i="1"/>
  <c r="V94" i="1" s="1"/>
  <c r="U60" i="1"/>
  <c r="V60" i="1" s="1"/>
  <c r="U59" i="1"/>
  <c r="V59" i="1" s="1"/>
  <c r="U92" i="1"/>
  <c r="V92" i="1" s="1"/>
  <c r="U93" i="1"/>
  <c r="V93" i="1" s="1"/>
  <c r="U85" i="1"/>
  <c r="V85" i="1" s="1"/>
  <c r="U56" i="1"/>
  <c r="V56" i="1" s="1"/>
  <c r="U107" i="1"/>
  <c r="V107" i="1" s="1"/>
  <c r="U83" i="1"/>
  <c r="V83" i="1" s="1"/>
  <c r="U58" i="1"/>
  <c r="V58" i="1" s="1"/>
  <c r="U173" i="1"/>
  <c r="V173" i="1" s="1"/>
  <c r="U174" i="1"/>
  <c r="V174" i="1" s="1"/>
  <c r="U62" i="1"/>
  <c r="V62" i="1" s="1"/>
  <c r="U57" i="1"/>
  <c r="V57" i="1" s="1"/>
  <c r="U65" i="1"/>
  <c r="V65" i="1" s="1"/>
  <c r="U64" i="1"/>
  <c r="V64" i="1" s="1"/>
  <c r="U63" i="1"/>
  <c r="V63" i="1" s="1"/>
  <c r="U61" i="1"/>
  <c r="V61" i="1" s="1"/>
  <c r="M115" i="1" l="1"/>
  <c r="M66" i="1"/>
  <c r="M67" i="1"/>
  <c r="M68" i="1"/>
  <c r="M69" i="1"/>
  <c r="M70" i="1"/>
  <c r="M71" i="1"/>
  <c r="M72" i="1"/>
  <c r="M74" i="1"/>
  <c r="M75" i="1"/>
  <c r="M77" i="1"/>
  <c r="M78" i="1"/>
  <c r="M79" i="1"/>
  <c r="M80" i="1"/>
  <c r="M81" i="1"/>
  <c r="M82" i="1"/>
  <c r="M162" i="1"/>
  <c r="M163" i="1"/>
  <c r="M164" i="1"/>
  <c r="M165" i="1"/>
  <c r="M166" i="1"/>
  <c r="M167" i="1"/>
  <c r="M168" i="1"/>
  <c r="M169" i="1"/>
  <c r="Q169" i="1" s="1"/>
  <c r="M170" i="1"/>
  <c r="M171" i="1"/>
  <c r="M172" i="1"/>
  <c r="Q115" i="1" l="1"/>
  <c r="N115" i="1"/>
  <c r="M76" i="1"/>
  <c r="N76" i="1" s="1"/>
  <c r="N67" i="1"/>
  <c r="Q67" i="1"/>
  <c r="Q66" i="1"/>
  <c r="N66" i="1"/>
  <c r="N68" i="1"/>
  <c r="Q68" i="1"/>
  <c r="Q69" i="1"/>
  <c r="N69" i="1"/>
  <c r="M73" i="1"/>
  <c r="N73" i="1" s="1"/>
  <c r="N170" i="1"/>
  <c r="Q170" i="1"/>
  <c r="N171" i="1"/>
  <c r="Q171" i="1"/>
  <c r="N172" i="1"/>
  <c r="N169" i="1"/>
  <c r="U169" i="1" s="1"/>
  <c r="V169" i="1" s="1"/>
  <c r="Q172" i="1"/>
  <c r="N79" i="1"/>
  <c r="Q79" i="1"/>
  <c r="Q80" i="1"/>
  <c r="N80" i="1"/>
  <c r="Q71" i="1"/>
  <c r="N71" i="1"/>
  <c r="Q72" i="1"/>
  <c r="N72" i="1"/>
  <c r="N75" i="1"/>
  <c r="Q75" i="1"/>
  <c r="Q77" i="1"/>
  <c r="N77" i="1"/>
  <c r="N74" i="1"/>
  <c r="Q74" i="1"/>
  <c r="Q70" i="1"/>
  <c r="N70" i="1"/>
  <c r="Q78" i="1"/>
  <c r="N78" i="1"/>
  <c r="N81" i="1"/>
  <c r="Q81" i="1"/>
  <c r="N82" i="1"/>
  <c r="Q82" i="1"/>
  <c r="N162" i="1"/>
  <c r="Q162" i="1"/>
  <c r="N164" i="1"/>
  <c r="Q164" i="1"/>
  <c r="N163" i="1"/>
  <c r="Q163" i="1"/>
  <c r="N168" i="1"/>
  <c r="Q168" i="1"/>
  <c r="N167" i="1"/>
  <c r="Q167" i="1"/>
  <c r="N166" i="1"/>
  <c r="Q166" i="1"/>
  <c r="Q165" i="1"/>
  <c r="N165" i="1"/>
  <c r="M136" i="1"/>
  <c r="Q136" i="1" s="1"/>
  <c r="M137" i="1"/>
  <c r="N137" i="1" s="1"/>
  <c r="N138" i="1"/>
  <c r="M139" i="1"/>
  <c r="N139" i="1" s="1"/>
  <c r="M140" i="1"/>
  <c r="N140" i="1" s="1"/>
  <c r="M141" i="1"/>
  <c r="N141" i="1" s="1"/>
  <c r="M142" i="1"/>
  <c r="N142" i="1" s="1"/>
  <c r="M143" i="1"/>
  <c r="Q143" i="1" s="1"/>
  <c r="M144" i="1"/>
  <c r="N144" i="1" s="1"/>
  <c r="M145" i="1"/>
  <c r="Q145" i="1" s="1"/>
  <c r="M146" i="1"/>
  <c r="Q146" i="1" s="1"/>
  <c r="M147" i="1"/>
  <c r="Q147" i="1" s="1"/>
  <c r="M148" i="1"/>
  <c r="Q148" i="1" s="1"/>
  <c r="M149" i="1"/>
  <c r="Q149" i="1" s="1"/>
  <c r="M150" i="1"/>
  <c r="Q150" i="1" s="1"/>
  <c r="M151" i="1"/>
  <c r="Q151" i="1" s="1"/>
  <c r="M152" i="1"/>
  <c r="N152" i="1" s="1"/>
  <c r="M153" i="1"/>
  <c r="N153" i="1" s="1"/>
  <c r="M154" i="1"/>
  <c r="N154" i="1" s="1"/>
  <c r="M155" i="1"/>
  <c r="Q155" i="1" s="1"/>
  <c r="M156" i="1"/>
  <c r="Q156" i="1" s="1"/>
  <c r="M157" i="1"/>
  <c r="N157" i="1" s="1"/>
  <c r="M158" i="1"/>
  <c r="Q158" i="1" s="1"/>
  <c r="M159" i="1"/>
  <c r="N159" i="1" s="1"/>
  <c r="M160" i="1"/>
  <c r="Q160" i="1" s="1"/>
  <c r="M161" i="1"/>
  <c r="N161" i="1" s="1"/>
  <c r="M128" i="1"/>
  <c r="N128" i="1" s="1"/>
  <c r="M129" i="1"/>
  <c r="N129" i="1" s="1"/>
  <c r="M130" i="1"/>
  <c r="N130" i="1" s="1"/>
  <c r="M131" i="1"/>
  <c r="N131" i="1" s="1"/>
  <c r="M132" i="1"/>
  <c r="N132" i="1" s="1"/>
  <c r="M133" i="1"/>
  <c r="N133" i="1" s="1"/>
  <c r="M90" i="1" s="1"/>
  <c r="M134" i="1"/>
  <c r="N134" i="1" s="1"/>
  <c r="M95" i="1" s="1"/>
  <c r="M135" i="1"/>
  <c r="N135" i="1" s="1"/>
  <c r="M96" i="1" s="1"/>
  <c r="H191" i="1"/>
  <c r="U78" i="1" l="1"/>
  <c r="V78" i="1" s="1"/>
  <c r="Q73" i="1"/>
  <c r="U73" i="1" s="1"/>
  <c r="V73" i="1" s="1"/>
  <c r="U115" i="1"/>
  <c r="V115" i="1" s="1"/>
  <c r="U77" i="1"/>
  <c r="V77" i="1" s="1"/>
  <c r="U80" i="1"/>
  <c r="V80" i="1" s="1"/>
  <c r="Q95" i="1"/>
  <c r="N95" i="1"/>
  <c r="N96" i="1"/>
  <c r="Q96" i="1"/>
  <c r="Q90" i="1"/>
  <c r="N90" i="1"/>
  <c r="U165" i="1"/>
  <c r="V165" i="1" s="1"/>
  <c r="Q76" i="1"/>
  <c r="U76" i="1" s="1"/>
  <c r="V76" i="1" s="1"/>
  <c r="U66" i="1"/>
  <c r="V66" i="1" s="1"/>
  <c r="U69" i="1"/>
  <c r="V69" i="1" s="1"/>
  <c r="U68" i="1"/>
  <c r="V68" i="1" s="1"/>
  <c r="U67" i="1"/>
  <c r="V67" i="1" s="1"/>
  <c r="U163" i="1"/>
  <c r="V163" i="1" s="1"/>
  <c r="U71" i="1"/>
  <c r="V71" i="1" s="1"/>
  <c r="U167" i="1"/>
  <c r="V167" i="1" s="1"/>
  <c r="U172" i="1"/>
  <c r="V172" i="1" s="1"/>
  <c r="U171" i="1"/>
  <c r="V171" i="1" s="1"/>
  <c r="U170" i="1"/>
  <c r="V170" i="1" s="1"/>
  <c r="U79" i="1"/>
  <c r="V79" i="1" s="1"/>
  <c r="U72" i="1"/>
  <c r="V72" i="1" s="1"/>
  <c r="U81" i="1"/>
  <c r="V81" i="1" s="1"/>
  <c r="U70" i="1"/>
  <c r="V70" i="1" s="1"/>
  <c r="U82" i="1"/>
  <c r="V82" i="1" s="1"/>
  <c r="U74" i="1"/>
  <c r="V74" i="1" s="1"/>
  <c r="U75" i="1"/>
  <c r="V75" i="1" s="1"/>
  <c r="U162" i="1"/>
  <c r="V162" i="1" s="1"/>
  <c r="U166" i="1"/>
  <c r="V166" i="1" s="1"/>
  <c r="U168" i="1"/>
  <c r="V168" i="1" s="1"/>
  <c r="U164" i="1"/>
  <c r="V164" i="1" s="1"/>
  <c r="Q128" i="1"/>
  <c r="U128" i="1" s="1"/>
  <c r="V128" i="1" s="1"/>
  <c r="N151" i="1"/>
  <c r="U151" i="1" s="1"/>
  <c r="V151" i="1" s="1"/>
  <c r="N136" i="1"/>
  <c r="U136" i="1" s="1"/>
  <c r="V136" i="1" s="1"/>
  <c r="Q157" i="1"/>
  <c r="U157" i="1" s="1"/>
  <c r="V157" i="1" s="1"/>
  <c r="Q134" i="1"/>
  <c r="U134" i="1" s="1"/>
  <c r="V134" i="1" s="1"/>
  <c r="Q132" i="1"/>
  <c r="U132" i="1" s="1"/>
  <c r="V132" i="1" s="1"/>
  <c r="Q131" i="1"/>
  <c r="U131" i="1" s="1"/>
  <c r="V131" i="1" s="1"/>
  <c r="Q153" i="1"/>
  <c r="U153" i="1" s="1"/>
  <c r="V153" i="1" s="1"/>
  <c r="Q130" i="1"/>
  <c r="U130" i="1" s="1"/>
  <c r="V130" i="1" s="1"/>
  <c r="Q152" i="1"/>
  <c r="U152" i="1" s="1"/>
  <c r="V152" i="1" s="1"/>
  <c r="Q161" i="1"/>
  <c r="U161" i="1" s="1"/>
  <c r="V161" i="1" s="1"/>
  <c r="Q159" i="1"/>
  <c r="U159" i="1" s="1"/>
  <c r="V159" i="1" s="1"/>
  <c r="Q135" i="1"/>
  <c r="U135" i="1" s="1"/>
  <c r="V135" i="1" s="1"/>
  <c r="Q133" i="1"/>
  <c r="U133" i="1" s="1"/>
  <c r="V133" i="1" s="1"/>
  <c r="Q154" i="1"/>
  <c r="U154" i="1" s="1"/>
  <c r="V154" i="1" s="1"/>
  <c r="Q129" i="1"/>
  <c r="U129" i="1" s="1"/>
  <c r="V129" i="1" s="1"/>
  <c r="Q142" i="1"/>
  <c r="U142" i="1" s="1"/>
  <c r="V142" i="1" s="1"/>
  <c r="Q141" i="1"/>
  <c r="U141" i="1" s="1"/>
  <c r="V141" i="1" s="1"/>
  <c r="N156" i="1"/>
  <c r="U156" i="1" s="1"/>
  <c r="V156" i="1" s="1"/>
  <c r="Q140" i="1"/>
  <c r="U140" i="1" s="1"/>
  <c r="V140" i="1" s="1"/>
  <c r="N155" i="1"/>
  <c r="U155" i="1" s="1"/>
  <c r="V155" i="1" s="1"/>
  <c r="Q139" i="1"/>
  <c r="U139" i="1" s="1"/>
  <c r="V139" i="1" s="1"/>
  <c r="Q138" i="1"/>
  <c r="U138" i="1" s="1"/>
  <c r="V138" i="1" s="1"/>
  <c r="Q137" i="1"/>
  <c r="U137" i="1" s="1"/>
  <c r="V137" i="1" s="1"/>
  <c r="N148" i="1"/>
  <c r="U148" i="1" s="1"/>
  <c r="V148" i="1" s="1"/>
  <c r="N146" i="1"/>
  <c r="U146" i="1" s="1"/>
  <c r="V146" i="1" s="1"/>
  <c r="N145" i="1"/>
  <c r="U145" i="1" s="1"/>
  <c r="V145" i="1" s="1"/>
  <c r="N150" i="1"/>
  <c r="U150" i="1" s="1"/>
  <c r="V150" i="1" s="1"/>
  <c r="N160" i="1"/>
  <c r="U160" i="1" s="1"/>
  <c r="V160" i="1" s="1"/>
  <c r="N158" i="1"/>
  <c r="U158" i="1" s="1"/>
  <c r="V158" i="1" s="1"/>
  <c r="Q144" i="1"/>
  <c r="U144" i="1" s="1"/>
  <c r="V144" i="1" s="1"/>
  <c r="N149" i="1"/>
  <c r="U149" i="1" s="1"/>
  <c r="V149" i="1" s="1"/>
  <c r="N147" i="1"/>
  <c r="U147" i="1" s="1"/>
  <c r="V147" i="1" s="1"/>
  <c r="N143" i="1"/>
  <c r="U143" i="1" s="1"/>
  <c r="V143" i="1" s="1"/>
  <c r="T191" i="1"/>
  <c r="S191" i="1"/>
  <c r="R191" i="1"/>
  <c r="P191" i="1"/>
  <c r="O191" i="1"/>
  <c r="L191" i="1"/>
  <c r="U90" i="1" l="1"/>
  <c r="V90" i="1" s="1"/>
  <c r="U95" i="1"/>
  <c r="V95" i="1" s="1"/>
  <c r="U96" i="1"/>
  <c r="V96" i="1" s="1"/>
  <c r="M17" i="1"/>
  <c r="M28" i="1"/>
  <c r="M31" i="1"/>
  <c r="M18" i="1"/>
  <c r="M23" i="1"/>
  <c r="M29" i="1"/>
  <c r="M20" i="1"/>
  <c r="M15" i="1"/>
  <c r="M19" i="1"/>
  <c r="M25" i="1"/>
  <c r="Q25" i="1" s="1"/>
  <c r="M30" i="1"/>
  <c r="M35" i="1"/>
  <c r="M22" i="1"/>
  <c r="M36" i="1"/>
  <c r="M26" i="1"/>
  <c r="M16" i="1"/>
  <c r="M21" i="1"/>
  <c r="M27" i="1"/>
  <c r="M32" i="1"/>
  <c r="M37" i="1"/>
  <c r="Q37" i="1" s="1"/>
  <c r="M190" i="1"/>
  <c r="Q190" i="1" s="1"/>
  <c r="M38" i="1"/>
  <c r="M33" i="1"/>
  <c r="M127" i="1"/>
  <c r="M34" i="1"/>
  <c r="M99" i="1"/>
  <c r="M120" i="1"/>
  <c r="M101" i="1"/>
  <c r="M113" i="1"/>
  <c r="M105" i="1"/>
  <c r="M104" i="1"/>
  <c r="M100" i="1"/>
  <c r="M111" i="1"/>
  <c r="M121" i="1"/>
  <c r="M114" i="1"/>
  <c r="M106" i="1"/>
  <c r="M116" i="1"/>
  <c r="M109" i="1"/>
  <c r="M112" i="1"/>
  <c r="M89" i="1"/>
  <c r="M98" i="1"/>
  <c r="M119" i="1"/>
  <c r="M102" i="1"/>
  <c r="M118" i="1"/>
  <c r="M110" i="1"/>
  <c r="M103" i="1"/>
  <c r="M117" i="1"/>
  <c r="M108" i="1"/>
  <c r="M48" i="1"/>
  <c r="M97" i="1"/>
  <c r="M88" i="1"/>
  <c r="M53" i="1"/>
  <c r="M52" i="1"/>
  <c r="M51" i="1"/>
  <c r="M49" i="1"/>
  <c r="M54" i="1"/>
  <c r="M13" i="1"/>
  <c r="N13" i="1" s="1"/>
  <c r="M14" i="1"/>
  <c r="N32" i="1" l="1"/>
  <c r="Q32" i="1"/>
  <c r="Q26" i="1"/>
  <c r="N26" i="1"/>
  <c r="Q22" i="1"/>
  <c r="N22" i="1"/>
  <c r="Q27" i="1"/>
  <c r="N27" i="1"/>
  <c r="Q16" i="1"/>
  <c r="N16" i="1"/>
  <c r="Q36" i="1"/>
  <c r="N36" i="1"/>
  <c r="Q19" i="1"/>
  <c r="N19" i="1"/>
  <c r="Q15" i="1"/>
  <c r="N15" i="1"/>
  <c r="U15" i="1" s="1"/>
  <c r="Q21" i="1"/>
  <c r="N21" i="1"/>
  <c r="Q35" i="1"/>
  <c r="N35" i="1"/>
  <c r="N30" i="1"/>
  <c r="Q30" i="1"/>
  <c r="Q29" i="1"/>
  <c r="N29" i="1"/>
  <c r="Q23" i="1"/>
  <c r="N23" i="1"/>
  <c r="Q20" i="1"/>
  <c r="N20" i="1"/>
  <c r="Q18" i="1"/>
  <c r="N18" i="1"/>
  <c r="Q31" i="1"/>
  <c r="N31" i="1"/>
  <c r="Q28" i="1"/>
  <c r="N28" i="1"/>
  <c r="N17" i="1"/>
  <c r="Q17" i="1"/>
  <c r="N25" i="1"/>
  <c r="U25" i="1" s="1"/>
  <c r="V25" i="1" s="1"/>
  <c r="N37" i="1"/>
  <c r="U37" i="1" s="1"/>
  <c r="V37" i="1" s="1"/>
  <c r="N190" i="1"/>
  <c r="U190" i="1" s="1"/>
  <c r="V190" i="1" s="1"/>
  <c r="N33" i="1"/>
  <c r="Q33" i="1"/>
  <c r="N34" i="1"/>
  <c r="Q34" i="1"/>
  <c r="N38" i="1"/>
  <c r="Q38" i="1"/>
  <c r="Q13" i="1"/>
  <c r="U13" i="1" s="1"/>
  <c r="M125" i="1"/>
  <c r="M123" i="1"/>
  <c r="M124" i="1"/>
  <c r="M122" i="1"/>
  <c r="M126" i="1"/>
  <c r="Q127" i="1"/>
  <c r="N127" i="1"/>
  <c r="Q89" i="1"/>
  <c r="N89" i="1"/>
  <c r="Q105" i="1"/>
  <c r="N105" i="1"/>
  <c r="N111" i="1"/>
  <c r="Q111" i="1"/>
  <c r="Q100" i="1"/>
  <c r="N100" i="1"/>
  <c r="N113" i="1"/>
  <c r="Q113" i="1"/>
  <c r="Q121" i="1"/>
  <c r="N121" i="1"/>
  <c r="Q108" i="1"/>
  <c r="N108" i="1"/>
  <c r="N112" i="1"/>
  <c r="Q112" i="1"/>
  <c r="N109" i="1"/>
  <c r="Q109" i="1"/>
  <c r="N102" i="1"/>
  <c r="Q102" i="1"/>
  <c r="N119" i="1"/>
  <c r="Q119" i="1"/>
  <c r="Q117" i="1"/>
  <c r="N117" i="1"/>
  <c r="Q116" i="1"/>
  <c r="N116" i="1"/>
  <c r="N101" i="1"/>
  <c r="Q101" i="1"/>
  <c r="Q104" i="1"/>
  <c r="N104" i="1"/>
  <c r="Q103" i="1"/>
  <c r="N103" i="1"/>
  <c r="Q110" i="1"/>
  <c r="N110" i="1"/>
  <c r="Q120" i="1"/>
  <c r="N120" i="1"/>
  <c r="Q98" i="1"/>
  <c r="N98" i="1"/>
  <c r="N114" i="1"/>
  <c r="Q114" i="1"/>
  <c r="N118" i="1"/>
  <c r="Q118" i="1"/>
  <c r="Q106" i="1"/>
  <c r="N106" i="1"/>
  <c r="Q99" i="1"/>
  <c r="N99" i="1"/>
  <c r="Q51" i="1"/>
  <c r="N51" i="1"/>
  <c r="Q52" i="1"/>
  <c r="N52" i="1"/>
  <c r="Q49" i="1"/>
  <c r="N49" i="1"/>
  <c r="Q53" i="1"/>
  <c r="N53" i="1"/>
  <c r="Q88" i="1"/>
  <c r="N88" i="1"/>
  <c r="Q54" i="1"/>
  <c r="N54" i="1"/>
  <c r="N97" i="1"/>
  <c r="Q97" i="1"/>
  <c r="Q48" i="1"/>
  <c r="N48" i="1"/>
  <c r="Q14" i="1"/>
  <c r="N14" i="1"/>
  <c r="U31" i="1" l="1"/>
  <c r="V31" i="1" s="1"/>
  <c r="U29" i="1"/>
  <c r="V29" i="1" s="1"/>
  <c r="U19" i="1"/>
  <c r="V19" i="1" s="1"/>
  <c r="U22" i="1"/>
  <c r="V22" i="1" s="1"/>
  <c r="U20" i="1"/>
  <c r="V20" i="1" s="1"/>
  <c r="U36" i="1"/>
  <c r="V36" i="1" s="1"/>
  <c r="U26" i="1"/>
  <c r="V26" i="1" s="1"/>
  <c r="U28" i="1"/>
  <c r="V28" i="1" s="1"/>
  <c r="U23" i="1"/>
  <c r="V23" i="1" s="1"/>
  <c r="U16" i="1"/>
  <c r="V16" i="1" s="1"/>
  <c r="U18" i="1"/>
  <c r="V18" i="1" s="1"/>
  <c r="U108" i="1"/>
  <c r="V108" i="1" s="1"/>
  <c r="U103" i="1"/>
  <c r="V103" i="1" s="1"/>
  <c r="V15" i="1"/>
  <c r="U52" i="1"/>
  <c r="V52" i="1" s="1"/>
  <c r="U17" i="1"/>
  <c r="V17" i="1" s="1"/>
  <c r="U89" i="1"/>
  <c r="V89" i="1" s="1"/>
  <c r="U30" i="1"/>
  <c r="V30" i="1" s="1"/>
  <c r="U32" i="1"/>
  <c r="V32" i="1" s="1"/>
  <c r="U35" i="1"/>
  <c r="V35" i="1" s="1"/>
  <c r="U21" i="1"/>
  <c r="V21" i="1" s="1"/>
  <c r="U51" i="1"/>
  <c r="V51" i="1" s="1"/>
  <c r="U106" i="1"/>
  <c r="V106" i="1" s="1"/>
  <c r="U116" i="1"/>
  <c r="V116" i="1" s="1"/>
  <c r="U100" i="1"/>
  <c r="V100" i="1" s="1"/>
  <c r="U48" i="1"/>
  <c r="V48" i="1" s="1"/>
  <c r="U27" i="1"/>
  <c r="V27" i="1" s="1"/>
  <c r="U110" i="1"/>
  <c r="V110" i="1" s="1"/>
  <c r="U117" i="1"/>
  <c r="V117" i="1" s="1"/>
  <c r="U105" i="1"/>
  <c r="V105" i="1" s="1"/>
  <c r="U104" i="1"/>
  <c r="V104" i="1" s="1"/>
  <c r="U33" i="1"/>
  <c r="V33" i="1" s="1"/>
  <c r="U34" i="1"/>
  <c r="V34" i="1" s="1"/>
  <c r="U38" i="1"/>
  <c r="V38" i="1" s="1"/>
  <c r="U53" i="1"/>
  <c r="V53" i="1" s="1"/>
  <c r="U99" i="1"/>
  <c r="V99" i="1" s="1"/>
  <c r="N126" i="1"/>
  <c r="Q126" i="1"/>
  <c r="N122" i="1"/>
  <c r="Q122" i="1"/>
  <c r="U127" i="1"/>
  <c r="V127" i="1" s="1"/>
  <c r="M47" i="1"/>
  <c r="Q124" i="1"/>
  <c r="N124" i="1"/>
  <c r="N123" i="1"/>
  <c r="Q123" i="1"/>
  <c r="Q125" i="1"/>
  <c r="N125" i="1"/>
  <c r="U98" i="1"/>
  <c r="V98" i="1" s="1"/>
  <c r="U102" i="1"/>
  <c r="V102" i="1" s="1"/>
  <c r="U112" i="1"/>
  <c r="V112" i="1" s="1"/>
  <c r="U118" i="1"/>
  <c r="V118" i="1" s="1"/>
  <c r="U120" i="1"/>
  <c r="V120" i="1" s="1"/>
  <c r="U109" i="1"/>
  <c r="V109" i="1" s="1"/>
  <c r="U121" i="1"/>
  <c r="V121" i="1" s="1"/>
  <c r="M41" i="1"/>
  <c r="U101" i="1"/>
  <c r="V101" i="1" s="1"/>
  <c r="U113" i="1"/>
  <c r="V113" i="1" s="1"/>
  <c r="U111" i="1"/>
  <c r="V111" i="1" s="1"/>
  <c r="U114" i="1"/>
  <c r="V114" i="1" s="1"/>
  <c r="M39" i="1"/>
  <c r="U119" i="1"/>
  <c r="V119" i="1" s="1"/>
  <c r="U54" i="1"/>
  <c r="V54" i="1" s="1"/>
  <c r="U88" i="1"/>
  <c r="V88" i="1" s="1"/>
  <c r="U49" i="1"/>
  <c r="V49" i="1" s="1"/>
  <c r="U97" i="1"/>
  <c r="V97" i="1" s="1"/>
  <c r="U14" i="1"/>
  <c r="V14" i="1" s="1"/>
  <c r="V13" i="1"/>
  <c r="M46" i="1" l="1"/>
  <c r="U126" i="1"/>
  <c r="V126" i="1" s="1"/>
  <c r="U123" i="1"/>
  <c r="V123" i="1" s="1"/>
  <c r="M43" i="1"/>
  <c r="U124" i="1"/>
  <c r="V124" i="1" s="1"/>
  <c r="M44" i="1"/>
  <c r="Q47" i="1"/>
  <c r="N47" i="1"/>
  <c r="M45" i="1"/>
  <c r="U125" i="1"/>
  <c r="V125" i="1" s="1"/>
  <c r="M42" i="1"/>
  <c r="U122" i="1"/>
  <c r="V122" i="1" s="1"/>
  <c r="Q39" i="1"/>
  <c r="N39" i="1"/>
  <c r="N41" i="1"/>
  <c r="Q41" i="1"/>
  <c r="Q40" i="1"/>
  <c r="N40" i="1"/>
  <c r="U47" i="1" l="1"/>
  <c r="V47" i="1" s="1"/>
  <c r="U39" i="1"/>
  <c r="V39" i="1" s="1"/>
  <c r="U40" i="1"/>
  <c r="V40" i="1" s="1"/>
  <c r="N42" i="1"/>
  <c r="Q42" i="1"/>
  <c r="N45" i="1"/>
  <c r="Q45" i="1"/>
  <c r="N44" i="1"/>
  <c r="Q44" i="1"/>
  <c r="Q43" i="1"/>
  <c r="N43" i="1"/>
  <c r="Q46" i="1"/>
  <c r="N46" i="1"/>
  <c r="U41" i="1"/>
  <c r="V41" i="1" s="1"/>
  <c r="M50" i="1"/>
  <c r="U43" i="1" l="1"/>
  <c r="V43" i="1" s="1"/>
  <c r="U46" i="1"/>
  <c r="V46" i="1" s="1"/>
  <c r="U44" i="1"/>
  <c r="V44" i="1" s="1"/>
  <c r="U45" i="1"/>
  <c r="V45" i="1" s="1"/>
  <c r="U42" i="1"/>
  <c r="V42" i="1" s="1"/>
  <c r="N50" i="1"/>
  <c r="Q50" i="1"/>
  <c r="U50" i="1" l="1"/>
  <c r="V50" i="1" l="1"/>
  <c r="U191" i="1" l="1"/>
  <c r="V191" i="1"/>
  <c r="J191" i="1"/>
  <c r="M191" i="1"/>
  <c r="N191" i="1"/>
  <c r="Q191" i="1"/>
  <c r="I191" i="1"/>
</calcChain>
</file>

<file path=xl/sharedStrings.xml><?xml version="1.0" encoding="utf-8"?>
<sst xmlns="http://schemas.openxmlformats.org/spreadsheetml/2006/main" count="894" uniqueCount="508">
  <si>
    <t xml:space="preserve"> </t>
  </si>
  <si>
    <t>DEPARTMENT/AGENCY:</t>
  </si>
  <si>
    <t>GUAM DEPARTMENT OF LABOR</t>
  </si>
  <si>
    <t>Input by Department</t>
  </si>
  <si>
    <t>( A )</t>
  </si>
  <si>
    <t>( B )</t>
  </si>
  <si>
    <t>( C )</t>
  </si>
  <si>
    <t>( D )</t>
  </si>
  <si>
    <t>( E )</t>
  </si>
  <si>
    <t>( F )</t>
  </si>
  <si>
    <t>( G )</t>
  </si>
  <si>
    <t>( H )</t>
  </si>
  <si>
    <t>( I )</t>
  </si>
  <si>
    <t>( J )</t>
  </si>
  <si>
    <t>( K )</t>
  </si>
  <si>
    <t>( L )</t>
  </si>
  <si>
    <t>( M )</t>
  </si>
  <si>
    <t>( N )</t>
  </si>
  <si>
    <t>( O )</t>
  </si>
  <si>
    <t>( P )</t>
  </si>
  <si>
    <t>( Q )</t>
  </si>
  <si>
    <t>( R )</t>
  </si>
  <si>
    <t>(S)</t>
  </si>
  <si>
    <t>Increment</t>
  </si>
  <si>
    <t xml:space="preserve">              Benefits</t>
  </si>
  <si>
    <t>Position</t>
  </si>
  <si>
    <t>Name of</t>
  </si>
  <si>
    <t>Grade /</t>
  </si>
  <si>
    <t>( E+F+G+I )</t>
  </si>
  <si>
    <t xml:space="preserve">Retirement </t>
  </si>
  <si>
    <t>Retire (DDI)</t>
  </si>
  <si>
    <t>Social Security</t>
  </si>
  <si>
    <t>Medicare</t>
  </si>
  <si>
    <t>Life</t>
  </si>
  <si>
    <t>Medical</t>
  </si>
  <si>
    <t>Dental</t>
  </si>
  <si>
    <t>Total Benefits</t>
  </si>
  <si>
    <t>( J + R )</t>
  </si>
  <si>
    <t>No.</t>
  </si>
  <si>
    <t>Number</t>
  </si>
  <si>
    <t>Title  1/</t>
  </si>
  <si>
    <t>Incumbent</t>
  </si>
  <si>
    <t>Step</t>
  </si>
  <si>
    <t>Salary</t>
  </si>
  <si>
    <t>Overtime</t>
  </si>
  <si>
    <t>Special*</t>
  </si>
  <si>
    <t>Date</t>
  </si>
  <si>
    <t>Amt.</t>
  </si>
  <si>
    <t>Subtotal</t>
  </si>
  <si>
    <t>(J * 29.43%)</t>
  </si>
  <si>
    <t>($19.01*26PP)</t>
  </si>
  <si>
    <t>(6.2% * J)</t>
  </si>
  <si>
    <t>(1.45% * J)</t>
  </si>
  <si>
    <t>2/</t>
  </si>
  <si>
    <t>( Premium)</t>
  </si>
  <si>
    <t>( K thru Q )</t>
  </si>
  <si>
    <t>TOTAL</t>
  </si>
  <si>
    <t>0100</t>
  </si>
  <si>
    <t xml:space="preserve">DIRECTOR </t>
  </si>
  <si>
    <t>E-T-3</t>
  </si>
  <si>
    <t>0101</t>
  </si>
  <si>
    <t>DEPUTY DIRECTOR</t>
  </si>
  <si>
    <t>TOVES, Gerard**</t>
  </si>
  <si>
    <t>E-R-6</t>
  </si>
  <si>
    <t>0102</t>
  </si>
  <si>
    <t>PLANNER IV</t>
  </si>
  <si>
    <t>RUBIC, Martha</t>
  </si>
  <si>
    <t>O-11</t>
  </si>
  <si>
    <t>0103</t>
  </si>
  <si>
    <t>I-01</t>
  </si>
  <si>
    <t>0104</t>
  </si>
  <si>
    <t>SPECIAL PROJECTS COORDINATOR</t>
  </si>
  <si>
    <t>N-10</t>
  </si>
  <si>
    <t>0105</t>
  </si>
  <si>
    <t>0106</t>
  </si>
  <si>
    <t>PRIVATE SECRETARY</t>
  </si>
  <si>
    <t>I-3</t>
  </si>
  <si>
    <t>0107</t>
  </si>
  <si>
    <t>H-01</t>
  </si>
  <si>
    <t>0108</t>
  </si>
  <si>
    <t>0109</t>
  </si>
  <si>
    <t>0110</t>
  </si>
  <si>
    <t>Grand Total:</t>
  </si>
  <si>
    <t>----</t>
  </si>
  <si>
    <t>PROGRAM ADMINISTRATOR</t>
  </si>
  <si>
    <t>MASSEY, Greg</t>
  </si>
  <si>
    <t>N-11</t>
  </si>
  <si>
    <t>1101</t>
  </si>
  <si>
    <t xml:space="preserve">EMP.  DEV. SUPERVISOR </t>
  </si>
  <si>
    <t>MENO, Dorinda R.</t>
  </si>
  <si>
    <t>1102</t>
  </si>
  <si>
    <t xml:space="preserve">EMP. DEV. WORKER III </t>
  </si>
  <si>
    <t>VACANT (UNFUNDED)</t>
  </si>
  <si>
    <t>K-01</t>
  </si>
  <si>
    <t>1103</t>
  </si>
  <si>
    <t>LABOR LAW ENF. SPEC. I</t>
  </si>
  <si>
    <t>1104</t>
  </si>
  <si>
    <t>CUSTOMER SERVICE REP **</t>
  </si>
  <si>
    <t>1105</t>
  </si>
  <si>
    <t xml:space="preserve">LABOR LAW ENF. SPEC. I </t>
  </si>
  <si>
    <t>1106</t>
  </si>
  <si>
    <t>CUSTOMER SERVICE REP</t>
  </si>
  <si>
    <t>1107</t>
  </si>
  <si>
    <t>MONTOYA, Carina PR</t>
  </si>
  <si>
    <t>H-05</t>
  </si>
  <si>
    <t>1108</t>
  </si>
  <si>
    <t>CUSTOMER SERVICE REP ***</t>
  </si>
  <si>
    <t xml:space="preserve">SABLAN, Genevene </t>
  </si>
  <si>
    <t>1109</t>
  </si>
  <si>
    <t xml:space="preserve">LABOR LAW ENF. SPEC. II </t>
  </si>
  <si>
    <t>CRUZ, Jessie Ana W</t>
  </si>
  <si>
    <t>1110</t>
  </si>
  <si>
    <t>1111</t>
  </si>
  <si>
    <t>LABOR LAW ENF SPEC III</t>
  </si>
  <si>
    <t xml:space="preserve">ANDERSON, Scott </t>
  </si>
  <si>
    <t>J-08</t>
  </si>
  <si>
    <t>1112</t>
  </si>
  <si>
    <t>1113</t>
  </si>
  <si>
    <t>1114</t>
  </si>
  <si>
    <t>1115</t>
  </si>
  <si>
    <t>TAINATONGO, Kayara *</t>
  </si>
  <si>
    <t xml:space="preserve">SAFETY OFFICER </t>
  </si>
  <si>
    <t>2002</t>
  </si>
  <si>
    <t>FEJERAN, Cyle</t>
  </si>
  <si>
    <t>H-1</t>
  </si>
  <si>
    <t>L-1</t>
  </si>
  <si>
    <t>LLE SPECIALIST III</t>
  </si>
  <si>
    <t>VACANT</t>
  </si>
  <si>
    <t>LLE SPECIALIST I</t>
  </si>
  <si>
    <t>LABOR LAW ENF. SPECIALIST I</t>
  </si>
  <si>
    <t>LABOR LAW ENF. SPECIALIST II</t>
  </si>
  <si>
    <t xml:space="preserve">LUMBA, Jessica </t>
  </si>
  <si>
    <t>CUSTOMER SERVICE REP.</t>
  </si>
  <si>
    <t>4000</t>
  </si>
  <si>
    <t>RESEARCH &amp; STAT. ADMINISTRATOR</t>
  </si>
  <si>
    <t>O-01</t>
  </si>
  <si>
    <t>4001</t>
  </si>
  <si>
    <t>CHIEF ECONOMIST</t>
  </si>
  <si>
    <t>HILES, Gary</t>
  </si>
  <si>
    <t>4002</t>
  </si>
  <si>
    <t>PROGRAM COORDINATOR IV</t>
  </si>
  <si>
    <t>LIMTIACO, Gerard^</t>
  </si>
  <si>
    <t>4003</t>
  </si>
  <si>
    <t>J-01</t>
  </si>
  <si>
    <t>---</t>
  </si>
  <si>
    <t>4004</t>
  </si>
  <si>
    <t>Research &amp; Statistics Ana. I</t>
  </si>
  <si>
    <t>K-1</t>
  </si>
  <si>
    <t>4005</t>
  </si>
  <si>
    <t>STATISTICIAN I</t>
  </si>
  <si>
    <t>HEFLIN, Marie S.</t>
  </si>
  <si>
    <t>I-20</t>
  </si>
  <si>
    <t>4006</t>
  </si>
  <si>
    <t>LAXAMANA, Mae</t>
  </si>
  <si>
    <t>4007</t>
  </si>
  <si>
    <t>STATISTICAL TECH II</t>
  </si>
  <si>
    <t>PUCHOLONG, Tianna</t>
  </si>
  <si>
    <t>F-01</t>
  </si>
  <si>
    <t>4008</t>
  </si>
  <si>
    <t>SIREN, Sally (Matching)</t>
  </si>
  <si>
    <t>4009</t>
  </si>
  <si>
    <t>SURVEY WORKER</t>
  </si>
  <si>
    <t>E-1</t>
  </si>
  <si>
    <t>4010</t>
  </si>
  <si>
    <t>4011</t>
  </si>
  <si>
    <t>4012</t>
  </si>
  <si>
    <t>DATA CONTROL CLERK II</t>
  </si>
  <si>
    <t>E-01</t>
  </si>
  <si>
    <t>4013</t>
  </si>
  <si>
    <t>Statistical Techniican I</t>
  </si>
  <si>
    <t>SURVEY SUPERVISOR</t>
  </si>
  <si>
    <t>G-01</t>
  </si>
  <si>
    <t>4015</t>
  </si>
  <si>
    <t>SURVEY WORKER (Unclassified)</t>
  </si>
  <si>
    <t>4016</t>
  </si>
  <si>
    <t>4017</t>
  </si>
  <si>
    <t>4018</t>
  </si>
  <si>
    <t>4019</t>
  </si>
  <si>
    <t>ADA, Eileen (LTA)</t>
  </si>
  <si>
    <t>UNCANGCO, Philla F. *</t>
  </si>
  <si>
    <t>MANGAHAS, Dolores*</t>
  </si>
  <si>
    <t>ARRIOLA, Maria M. *</t>
  </si>
  <si>
    <t>SABLAN, Jeffrey JD</t>
  </si>
  <si>
    <t>5001</t>
  </si>
  <si>
    <t>SUAREZ, Sien CI</t>
  </si>
  <si>
    <t>5002</t>
  </si>
  <si>
    <t>LABOR LAW ENF. SPEC. II**</t>
  </si>
  <si>
    <t>LASTIMOZA, Don</t>
  </si>
  <si>
    <t>5003</t>
  </si>
  <si>
    <t>EMPLOYMENT PROG. ADMIN.</t>
  </si>
  <si>
    <t>FULLERTON, JoAnnalyn</t>
  </si>
  <si>
    <t>6001</t>
  </si>
  <si>
    <t xml:space="preserve">PABLO, Manuel A. </t>
  </si>
  <si>
    <t>L-12</t>
  </si>
  <si>
    <t>6002</t>
  </si>
  <si>
    <t xml:space="preserve">MUNA, Marian P. </t>
  </si>
  <si>
    <t>6003</t>
  </si>
  <si>
    <t>6004</t>
  </si>
  <si>
    <t>DATA CONTROL CLERK I</t>
  </si>
  <si>
    <t xml:space="preserve">FARRELL, Nina M. </t>
  </si>
  <si>
    <t>6005</t>
  </si>
  <si>
    <t>6006</t>
  </si>
  <si>
    <t>WORKERS COMP CLAIM EXAM</t>
  </si>
  <si>
    <t>6007</t>
  </si>
  <si>
    <t>CLAIMS SPECIALIST I</t>
  </si>
  <si>
    <t>8000</t>
  </si>
  <si>
    <t>ADMIN. SERVICES OFFICER(ASO)</t>
  </si>
  <si>
    <t>8001</t>
  </si>
  <si>
    <t>ADMINISTRATIVE ASSISTANT</t>
  </si>
  <si>
    <t>8002</t>
  </si>
  <si>
    <t>8003</t>
  </si>
  <si>
    <t>MANAGEMENT ANALYST I</t>
  </si>
  <si>
    <t>8004</t>
  </si>
  <si>
    <t xml:space="preserve">GUZMAN, Angela </t>
  </si>
  <si>
    <t>8005</t>
  </si>
  <si>
    <t xml:space="preserve">CORDERO, Helen </t>
  </si>
  <si>
    <t>8006</t>
  </si>
  <si>
    <t xml:space="preserve">CUSTOMER SERVICE REP.  </t>
  </si>
  <si>
    <t>8007</t>
  </si>
  <si>
    <t>8008</t>
  </si>
  <si>
    <t>8009</t>
  </si>
  <si>
    <t>8010</t>
  </si>
  <si>
    <t>C-01</t>
  </si>
  <si>
    <t>8011</t>
  </si>
  <si>
    <t>FEDERAL PROGRAM EXAM I</t>
  </si>
  <si>
    <t>8012</t>
  </si>
  <si>
    <t>J-02</t>
  </si>
  <si>
    <t>8013</t>
  </si>
  <si>
    <t xml:space="preserve">SABLAN, Navis </t>
  </si>
  <si>
    <t>8014</t>
  </si>
  <si>
    <t xml:space="preserve">ADMINISTRATIVE ASSISTANT </t>
  </si>
  <si>
    <t>8015</t>
  </si>
  <si>
    <t>ACCOUNTING TECH. II</t>
  </si>
  <si>
    <t>8016</t>
  </si>
  <si>
    <t>8017</t>
  </si>
  <si>
    <t>ACCOUNTING TECH. I</t>
  </si>
  <si>
    <t>8018</t>
  </si>
  <si>
    <t>8019</t>
  </si>
  <si>
    <t>8020</t>
  </si>
  <si>
    <t>8021</t>
  </si>
  <si>
    <t>CLERK II</t>
  </si>
  <si>
    <t>D-01</t>
  </si>
  <si>
    <t>8022</t>
  </si>
  <si>
    <t>ACCOUNTING TECH III</t>
  </si>
  <si>
    <t>8023</t>
  </si>
  <si>
    <t xml:space="preserve">ACCOUNTING TECH  I </t>
  </si>
  <si>
    <t>8024</t>
  </si>
  <si>
    <t xml:space="preserve">BUDGET ANALYST </t>
  </si>
  <si>
    <t>TING, Coriann</t>
  </si>
  <si>
    <t>8025</t>
  </si>
  <si>
    <t>PLANNER II</t>
  </si>
  <si>
    <t>CRUZ, Shirley</t>
  </si>
  <si>
    <t xml:space="preserve">CARRERA, Janela </t>
  </si>
  <si>
    <t xml:space="preserve">LIZAMA, Katherina </t>
  </si>
  <si>
    <t>LIZAMA. Jaeana</t>
  </si>
  <si>
    <t>VACANT(UNFUNDED)</t>
  </si>
  <si>
    <t>PEREZ, Rosanna</t>
  </si>
  <si>
    <t xml:space="preserve">MAFNAS, V. Helen </t>
  </si>
  <si>
    <t xml:space="preserve">DELL'ISOLA, David  </t>
  </si>
  <si>
    <t>1000</t>
  </si>
  <si>
    <t>EMP PROGRAM ADMINISTRATOR</t>
  </si>
  <si>
    <t>N-05</t>
  </si>
  <si>
    <t>1001</t>
  </si>
  <si>
    <t>EMP DEVELOPMENT WORKER III</t>
  </si>
  <si>
    <t>CARINO, Virginia</t>
  </si>
  <si>
    <t>1002</t>
  </si>
  <si>
    <t>EMP DEVELOPMENT WORKER II</t>
  </si>
  <si>
    <t>1003</t>
  </si>
  <si>
    <t>MALSOL, Kenneth</t>
  </si>
  <si>
    <t>1004</t>
  </si>
  <si>
    <t>1005</t>
  </si>
  <si>
    <t>EMP DEVELOPMENT WORKER I</t>
  </si>
  <si>
    <t>1006</t>
  </si>
  <si>
    <t>1007</t>
  </si>
  <si>
    <t>CONCEPCION, Jorgeane</t>
  </si>
  <si>
    <t>1008</t>
  </si>
  <si>
    <t>1009</t>
  </si>
  <si>
    <t>1013</t>
  </si>
  <si>
    <t>PLANNER I ^^</t>
  </si>
  <si>
    <t>1010</t>
  </si>
  <si>
    <t>1011</t>
  </si>
  <si>
    <t>OFFICE AIDE</t>
  </si>
  <si>
    <t>C-1</t>
  </si>
  <si>
    <t>1012</t>
  </si>
  <si>
    <t>OFFICE AIDE**</t>
  </si>
  <si>
    <t>8100</t>
  </si>
  <si>
    <t>SYS. &amp; PROG. ADMINISTRATOR</t>
  </si>
  <si>
    <t>P-09</t>
  </si>
  <si>
    <t>8101</t>
  </si>
  <si>
    <t>8102</t>
  </si>
  <si>
    <t>COMPUTER OPERATOR I</t>
  </si>
  <si>
    <t>8103</t>
  </si>
  <si>
    <t>GONZALES, Valerie*</t>
  </si>
  <si>
    <t>8104</t>
  </si>
  <si>
    <t>8105</t>
  </si>
  <si>
    <t>8106</t>
  </si>
  <si>
    <t>1501</t>
  </si>
  <si>
    <t>EMP. DEV. WORKER III</t>
  </si>
  <si>
    <t>SALAS, LINDA N.</t>
  </si>
  <si>
    <t>1502</t>
  </si>
  <si>
    <t>1503</t>
  </si>
  <si>
    <t>EMP. DEV. WORKER II</t>
  </si>
  <si>
    <t>J-1</t>
  </si>
  <si>
    <t>1504</t>
  </si>
  <si>
    <t>EMP. DEV. WORKER SUPV</t>
  </si>
  <si>
    <t>1505</t>
  </si>
  <si>
    <t>BAUMGARTNER, Maria</t>
  </si>
  <si>
    <t>1506</t>
  </si>
  <si>
    <t>EMP. DEV. WORKER I</t>
  </si>
  <si>
    <t>CAMACHO, Alexandra</t>
  </si>
  <si>
    <t>1507</t>
  </si>
  <si>
    <t>EMP. PROGRAM ADMN</t>
  </si>
  <si>
    <t>1508</t>
  </si>
  <si>
    <t xml:space="preserve">PEREDO, Jaylee </t>
  </si>
  <si>
    <t>1509</t>
  </si>
  <si>
    <t xml:space="preserve">HERNANDEZ, Ibarra L.A. </t>
  </si>
  <si>
    <t>1510</t>
  </si>
  <si>
    <t>1511</t>
  </si>
  <si>
    <t>1512</t>
  </si>
  <si>
    <t>1513</t>
  </si>
  <si>
    <t>CAMACHO, Theresa</t>
  </si>
  <si>
    <t>RIVERA, Vanessa</t>
  </si>
  <si>
    <t>K-5</t>
  </si>
  <si>
    <t>MENO, Tilda</t>
  </si>
  <si>
    <t>8200</t>
  </si>
  <si>
    <t>8201</t>
  </si>
  <si>
    <t>PLANNER I</t>
  </si>
  <si>
    <t>8202</t>
  </si>
  <si>
    <t>PROGRAM COORDINATOR I</t>
  </si>
  <si>
    <t>8203</t>
  </si>
  <si>
    <t>PROGRAM COORDINATOR II</t>
  </si>
  <si>
    <t>M-1</t>
  </si>
  <si>
    <t>SEE POSITION# 1507</t>
  </si>
  <si>
    <t>SEE POSITION# 0102</t>
  </si>
  <si>
    <t>1400</t>
  </si>
  <si>
    <t>SPECIAL PROGRAM COORDNATOR</t>
  </si>
  <si>
    <t>VACANT (UNFUNDED)*</t>
  </si>
  <si>
    <t>1401</t>
  </si>
  <si>
    <t>1402</t>
  </si>
  <si>
    <t>VACANT (UNFUNDED) ^^</t>
  </si>
  <si>
    <t>1403</t>
  </si>
  <si>
    <t>1301</t>
  </si>
  <si>
    <t>CUSTOMER SERVICE REPRESENTATIVE</t>
  </si>
  <si>
    <t>1302</t>
  </si>
  <si>
    <t>1303</t>
  </si>
  <si>
    <t>1304</t>
  </si>
  <si>
    <t>VALENCIA, Christian***</t>
  </si>
  <si>
    <t>1300</t>
  </si>
  <si>
    <t>1200</t>
  </si>
  <si>
    <t>EMP. PROGRAM ADMINISTR</t>
  </si>
  <si>
    <t>GUTIERREZ, Dorothy</t>
  </si>
  <si>
    <t>1201</t>
  </si>
  <si>
    <t>1202</t>
  </si>
  <si>
    <t>CUSTOMER SERVICE REP. ^^^^</t>
  </si>
  <si>
    <t>1203</t>
  </si>
  <si>
    <t>1204</t>
  </si>
  <si>
    <t>1205</t>
  </si>
  <si>
    <t xml:space="preserve">MANAGEMENT ANALYST I </t>
  </si>
  <si>
    <t>UNTALAN, Paulani</t>
  </si>
  <si>
    <t>9000</t>
  </si>
  <si>
    <t>9001</t>
  </si>
  <si>
    <t>QUINTANILLA, Shane</t>
  </si>
  <si>
    <t>9002</t>
  </si>
  <si>
    <t>9003</t>
  </si>
  <si>
    <t>PROGRAM COORDINATOR III</t>
  </si>
  <si>
    <t>1800</t>
  </si>
  <si>
    <t>TOPASNA, Phyllis</t>
  </si>
  <si>
    <t>1801</t>
  </si>
  <si>
    <t>1802</t>
  </si>
  <si>
    <t>1803</t>
  </si>
  <si>
    <t>1804</t>
  </si>
  <si>
    <t>Office Aide</t>
  </si>
  <si>
    <t>PUA-006</t>
  </si>
  <si>
    <t>PUA-008</t>
  </si>
  <si>
    <t>PUA-009</t>
  </si>
  <si>
    <t>ESTEVES, Mariah</t>
  </si>
  <si>
    <t>PUA-004</t>
  </si>
  <si>
    <t xml:space="preserve">CRUZ, Tabitha </t>
  </si>
  <si>
    <t>COLLECTION AGENT SUP</t>
  </si>
  <si>
    <t>PUA-019</t>
  </si>
  <si>
    <t>COLLECTION AGENT</t>
  </si>
  <si>
    <t>PUA-021</t>
  </si>
  <si>
    <t>PUA-022</t>
  </si>
  <si>
    <t>PUA-025</t>
  </si>
  <si>
    <t>PUA-045</t>
  </si>
  <si>
    <t xml:space="preserve">FED PROGRAMS EXAMINER I </t>
  </si>
  <si>
    <t>GUERRERO, Ciara L.M.</t>
  </si>
  <si>
    <t>PUA-046</t>
  </si>
  <si>
    <t>PUA-053</t>
  </si>
  <si>
    <t>PUA-055</t>
  </si>
  <si>
    <t>2100</t>
  </si>
  <si>
    <t>PANGELINAN, Jesse**</t>
  </si>
  <si>
    <t>2105</t>
  </si>
  <si>
    <t>ADMINISTRATIVE AIDE</t>
  </si>
  <si>
    <t xml:space="preserve">VACANT (Unfunded) </t>
  </si>
  <si>
    <t>NEDEDOG, Crystiann *</t>
  </si>
  <si>
    <t>2106</t>
  </si>
  <si>
    <t>2101</t>
  </si>
  <si>
    <t>SAFETY INSPECTOR III</t>
  </si>
  <si>
    <t>PEREZ, Kinny L.G.</t>
  </si>
  <si>
    <t>2102</t>
  </si>
  <si>
    <t xml:space="preserve">RIOS, Michael J. </t>
  </si>
  <si>
    <t>2103</t>
  </si>
  <si>
    <t>ENV. HEALTH SPEC. I</t>
  </si>
  <si>
    <t>2104</t>
  </si>
  <si>
    <t>SAFETY INSPECTOR II</t>
  </si>
  <si>
    <t>BLAS, Katrina</t>
  </si>
  <si>
    <t>ZACARIAS, Ivonne</t>
  </si>
  <si>
    <t>TORRES, Ana Marie</t>
  </si>
  <si>
    <t>TOPASNA, Ernisha</t>
  </si>
  <si>
    <t>DUENAS, Erica</t>
  </si>
  <si>
    <t>DUA-020</t>
  </si>
  <si>
    <t>LACAP, Adrian</t>
  </si>
  <si>
    <t>SANCHEZ, Ashley</t>
  </si>
  <si>
    <t>TRINIDAD, Maisie</t>
  </si>
  <si>
    <t>Funding</t>
  </si>
  <si>
    <t>Source</t>
  </si>
  <si>
    <t>Special Funds</t>
  </si>
  <si>
    <t>MDF Overcollections</t>
  </si>
  <si>
    <t>Federal Funds - WIOA</t>
  </si>
  <si>
    <t>Federal Funds - SCSEP Grant</t>
  </si>
  <si>
    <t>Federal Funds - Apprenticeship Expansion Grant</t>
  </si>
  <si>
    <t>Federal Funds - OSHA Grant</t>
  </si>
  <si>
    <t>Federal Funds - BLS Grant     Special Funds</t>
  </si>
  <si>
    <t>Local Matching               Federal - BLS OSHS Grant</t>
  </si>
  <si>
    <t>Hire Date</t>
  </si>
  <si>
    <t>Recent</t>
  </si>
  <si>
    <t>Most</t>
  </si>
  <si>
    <t>Federal Funds - SCSEP Technology Grant</t>
  </si>
  <si>
    <t>1/7/2019</t>
  </si>
  <si>
    <t>3/5/1989</t>
  </si>
  <si>
    <t>SHIROMA, Camarin</t>
  </si>
  <si>
    <t>SAFETY ADMINISTRATOR</t>
  </si>
  <si>
    <t>WORKERS COMP. CLAIM EXAM II</t>
  </si>
  <si>
    <t>MENO, Nicole C.</t>
  </si>
  <si>
    <t>AGUON, Jovonne M.</t>
  </si>
  <si>
    <t>CRUZ, Brandon</t>
  </si>
  <si>
    <t>ANDERSON, Jay</t>
  </si>
  <si>
    <t>PEREDA, Rose</t>
  </si>
  <si>
    <t>VACANT (TEMP)</t>
  </si>
  <si>
    <t xml:space="preserve">Federal Funds - Wagner Peyser </t>
  </si>
  <si>
    <t>Federal Funds - PUA</t>
  </si>
  <si>
    <t>Federal Funds - DUA</t>
  </si>
  <si>
    <t>Federal Funds - JVSG</t>
  </si>
  <si>
    <t>0111</t>
  </si>
  <si>
    <t>QUIBLAT, Keith J</t>
  </si>
  <si>
    <t>TING, Loriann BC</t>
  </si>
  <si>
    <t>YOUNG, Jenna</t>
  </si>
  <si>
    <t>LABOR LAW ENF SPEC II</t>
  </si>
  <si>
    <t>CABACUNGAN, Nenita</t>
  </si>
  <si>
    <t xml:space="preserve">COMPUTER OPERATOR II </t>
  </si>
  <si>
    <t>ASSISTANT ECONOMIST</t>
  </si>
  <si>
    <t>EMPLOYMENT RELATIONS REP.</t>
  </si>
  <si>
    <t>SANCHEZ, Kahllyah Gail</t>
  </si>
  <si>
    <t>FY 2025 3rd Quarter</t>
  </si>
  <si>
    <t xml:space="preserve">CANLAS, Rosannalynn </t>
  </si>
  <si>
    <t>PEREDA, Peter</t>
  </si>
  <si>
    <t>VACANT( RECRUITMENT)</t>
  </si>
  <si>
    <t>K-13</t>
  </si>
  <si>
    <t>M-06</t>
  </si>
  <si>
    <t>AVERRE, Tabitha</t>
  </si>
  <si>
    <t>MENDIOLA, Ginanna</t>
  </si>
  <si>
    <t xml:space="preserve">QUINTANILLA, Nika </t>
  </si>
  <si>
    <t>VACANT (Recruitment)</t>
  </si>
  <si>
    <t xml:space="preserve">CRUZ, Amoretta </t>
  </si>
  <si>
    <t>LLE SPECIALIST I (in lieu of LLES II)</t>
  </si>
  <si>
    <t>IGNACIO, Veronica</t>
  </si>
  <si>
    <t>K-2</t>
  </si>
  <si>
    <t>M-04</t>
  </si>
  <si>
    <t xml:space="preserve">SURBER, Louvana </t>
  </si>
  <si>
    <t>K-10</t>
  </si>
  <si>
    <t xml:space="preserve">MAFNAS, Mariquita </t>
  </si>
  <si>
    <t>K-02</t>
  </si>
  <si>
    <t>J-04</t>
  </si>
  <si>
    <t>E-10</t>
  </si>
  <si>
    <t>LLES SUPERVISOR</t>
  </si>
  <si>
    <t>FAIR EMP. PRACTICE OFFICER</t>
  </si>
  <si>
    <t>I-02</t>
  </si>
  <si>
    <t>O-12</t>
  </si>
  <si>
    <t>J-8</t>
  </si>
  <si>
    <t>K-6</t>
  </si>
  <si>
    <t>M-4</t>
  </si>
  <si>
    <t>N-6</t>
  </si>
  <si>
    <t xml:space="preserve">OFFICE AIDE in lieu of CSR </t>
  </si>
  <si>
    <t xml:space="preserve">CARBULLIDO, Arlene </t>
  </si>
  <si>
    <t>Underfilled by Sablan, Navis</t>
  </si>
  <si>
    <t>VACANT - RECRUITMENT</t>
  </si>
  <si>
    <t>Employment Development Wkr III</t>
  </si>
  <si>
    <t xml:space="preserve">VACANT </t>
  </si>
  <si>
    <t>N-07</t>
  </si>
  <si>
    <t>J-12</t>
  </si>
  <si>
    <t>Q-12</t>
  </si>
  <si>
    <t>I-07</t>
  </si>
  <si>
    <t>I-7</t>
  </si>
  <si>
    <t>Q-08</t>
  </si>
  <si>
    <t>H-04</t>
  </si>
  <si>
    <t>I-03</t>
  </si>
  <si>
    <r>
      <t xml:space="preserve">COMPUTER OPERATOR I </t>
    </r>
    <r>
      <rPr>
        <b/>
        <sz val="6"/>
        <rFont val="Times New Roman"/>
        <family val="1"/>
      </rPr>
      <t>in lieu of CO II</t>
    </r>
  </si>
  <si>
    <t>J-2</t>
  </si>
  <si>
    <t>COLLECTION AGENT in lieu of COLLECTION AGENT SUPERVISOR</t>
  </si>
  <si>
    <t>CUSTOMER SERVICE REPRESENTATIVE in lieu of COLLECTION AGENT</t>
  </si>
  <si>
    <t>J-3</t>
  </si>
  <si>
    <t>HERRERA, EWALANI - Recruitment</t>
  </si>
  <si>
    <t>M-01</t>
  </si>
  <si>
    <t xml:space="preserve">EMP. DEV. WORKER I </t>
  </si>
  <si>
    <t>GOGUE,  Nicolette</t>
  </si>
  <si>
    <t>TYQUIENGCO, Amilynn*</t>
  </si>
  <si>
    <t>J-09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</si>
</sst>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5" formatCode="&quot;$&quot;#,##0_);\(&quot;$&quot;#,##0\)"/>
    <numFmt numFmtId="6" formatCode="&quot;$&quot;#,##0_);[Red]\(&quot;$&quot;#,##0\)"/>
    <numFmt numFmtId="43" formatCode="_(* #,##0.00_);_(* \(#,##0.00\);_(* &quot;-&quot;??_);_(@_)"/>
    <numFmt numFmtId="164" formatCode="0.0%"/>
    <numFmt numFmtId="165" formatCode="_(* #,##0_);_(* \(#,##0\);_(* &quot;-&quot;??_);_(@_)"/>
  </numFmts>
  <fonts count="17">
    <font>
      <sz val="12"/>
      <name val="SWISS"/>
    </font>
    <font>
      <sz val="12"/>
      <name val="SWISS"/>
    </font>
    <font>
      <b/>
      <sz val="8"/>
      <color indexed="8"/>
      <name val="Times New Roman"/>
      <family val="1"/>
    </font>
    <font>
      <b/>
      <sz val="12"/>
      <color indexed="8"/>
      <name val="Times New Roman"/>
      <family val="1"/>
    </font>
    <font>
      <b/>
      <sz val="10"/>
      <color indexed="8"/>
      <name val="Times New Roman"/>
      <family val="1"/>
    </font>
    <font>
      <b/>
      <sz val="8"/>
      <color indexed="8"/>
      <name val="SWISS"/>
    </font>
    <font>
      <sz val="8"/>
      <color indexed="8"/>
      <name val="SWISS"/>
    </font>
    <font>
      <sz val="8"/>
      <name val="SWISS"/>
    </font>
    <font>
      <b/>
      <sz val="8"/>
      <name val="Times New Roman"/>
      <family val="1"/>
    </font>
    <font>
      <sz val="8"/>
      <name val="Times New Roman"/>
      <family val="1"/>
    </font>
    <font>
      <b/>
      <sz val="7"/>
      <color indexed="8"/>
      <name val="Times New Roman"/>
      <family val="1"/>
    </font>
    <font>
      <b/>
      <sz val="8"/>
      <color rgb="FFFF0000"/>
      <name val="SWISS"/>
    </font>
    <font>
      <sz val="8"/>
      <color rgb="FFFF0000"/>
      <name val="SWISS"/>
    </font>
    <font>
      <b/>
      <sz val="8"/>
      <name val="SWISS"/>
    </font>
    <font>
      <sz val="8"/>
      <color rgb="FFFFFF00"/>
      <name val="SWISS"/>
    </font>
    <font>
      <b/>
      <sz val="6"/>
      <name val="Times New Roman"/>
      <family val="1"/>
    </font>
    <font>
      <b/>
      <sz val="7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gray0625">
        <bgColor indexed="9"/>
      </patternFill>
    </fill>
    <fill>
      <patternFill patternType="solid">
        <fgColor theme="0"/>
        <bgColor indexed="64"/>
      </patternFill>
    </fill>
    <fill>
      <patternFill patternType="lightGray">
        <bgColor indexed="9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 style="thick">
        <color indexed="8"/>
      </left>
      <right/>
      <top style="thick">
        <color indexed="8"/>
      </top>
      <bottom style="thick">
        <color indexed="8"/>
      </bottom>
      <diagonal/>
    </border>
    <border>
      <left/>
      <right/>
      <top style="thick">
        <color indexed="8"/>
      </top>
      <bottom style="thick">
        <color indexed="8"/>
      </bottom>
      <diagonal/>
    </border>
    <border>
      <left/>
      <right style="thick">
        <color indexed="8"/>
      </right>
      <top style="thick">
        <color indexed="8"/>
      </top>
      <bottom style="thick">
        <color indexed="8"/>
      </bottom>
      <diagonal/>
    </border>
    <border>
      <left style="thick">
        <color indexed="8"/>
      </left>
      <right/>
      <top/>
      <bottom/>
      <diagonal/>
    </border>
    <border>
      <left/>
      <right style="thick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3"/>
      </bottom>
      <diagonal/>
    </border>
    <border>
      <left/>
      <right style="thick">
        <color indexed="8"/>
      </right>
      <top/>
      <bottom style="thin">
        <color indexed="8"/>
      </bottom>
      <diagonal/>
    </border>
    <border>
      <left style="thick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ck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thin">
        <color indexed="8"/>
      </top>
      <bottom/>
      <diagonal/>
    </border>
    <border>
      <left/>
      <right style="thick">
        <color indexed="8"/>
      </right>
      <top style="thin">
        <color indexed="8"/>
      </top>
      <bottom/>
      <diagonal/>
    </border>
    <border>
      <left style="thick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ck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ck">
        <color indexed="8"/>
      </left>
      <right style="thin">
        <color indexed="8"/>
      </right>
      <top/>
      <bottom style="thick">
        <color indexed="8"/>
      </bottom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/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ck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ck">
        <color indexed="8"/>
      </right>
      <top/>
      <bottom style="thick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4">
    <xf numFmtId="37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37" fontId="1" fillId="0" borderId="0"/>
  </cellStyleXfs>
  <cellXfs count="200">
    <xf numFmtId="37" fontId="0" fillId="0" borderId="0" xfId="0"/>
    <xf numFmtId="37" fontId="2" fillId="0" borderId="0" xfId="0" applyFont="1"/>
    <xf numFmtId="37" fontId="3" fillId="0" borderId="0" xfId="0" applyFont="1"/>
    <xf numFmtId="37" fontId="4" fillId="0" borderId="0" xfId="0" applyFont="1"/>
    <xf numFmtId="37" fontId="5" fillId="0" borderId="0" xfId="0" applyFont="1"/>
    <xf numFmtId="37" fontId="6" fillId="0" borderId="0" xfId="0" applyFont="1"/>
    <xf numFmtId="37" fontId="7" fillId="0" borderId="0" xfId="0" applyFont="1"/>
    <xf numFmtId="37" fontId="4" fillId="0" borderId="0" xfId="0" applyFont="1" applyProtection="1">
      <protection locked="0"/>
    </xf>
    <xf numFmtId="37" fontId="2" fillId="0" borderId="0" xfId="0" applyFont="1" applyAlignment="1">
      <alignment horizontal="center"/>
    </xf>
    <xf numFmtId="37" fontId="2" fillId="2" borderId="1" xfId="0" applyFont="1" applyFill="1" applyBorder="1" applyAlignment="1">
      <alignment horizontal="centerContinuous"/>
    </xf>
    <xf numFmtId="37" fontId="2" fillId="2" borderId="2" xfId="0" applyFont="1" applyFill="1" applyBorder="1" applyAlignment="1">
      <alignment horizontal="centerContinuous"/>
    </xf>
    <xf numFmtId="37" fontId="2" fillId="0" borderId="4" xfId="0" applyFont="1" applyBorder="1"/>
    <xf numFmtId="37" fontId="2" fillId="0" borderId="4" xfId="0" quotePrefix="1" applyFont="1" applyBorder="1" applyAlignment="1">
      <alignment horizontal="center"/>
    </xf>
    <xf numFmtId="37" fontId="2" fillId="0" borderId="6" xfId="0" quotePrefix="1" applyFont="1" applyBorder="1" applyAlignment="1">
      <alignment horizontal="center"/>
    </xf>
    <xf numFmtId="37" fontId="2" fillId="0" borderId="0" xfId="0" quotePrefix="1" applyFont="1" applyAlignment="1">
      <alignment horizontal="center"/>
    </xf>
    <xf numFmtId="37" fontId="2" fillId="0" borderId="9" xfId="0" quotePrefix="1" applyFont="1" applyBorder="1" applyAlignment="1">
      <alignment horizontal="center"/>
    </xf>
    <xf numFmtId="37" fontId="8" fillId="0" borderId="0" xfId="0" applyFont="1" applyAlignment="1">
      <alignment horizontal="center"/>
    </xf>
    <xf numFmtId="37" fontId="2" fillId="3" borderId="10" xfId="0" applyFont="1" applyFill="1" applyBorder="1" applyAlignment="1">
      <alignment horizontal="center"/>
    </xf>
    <xf numFmtId="37" fontId="2" fillId="4" borderId="11" xfId="0" applyFont="1" applyFill="1" applyBorder="1" applyAlignment="1">
      <alignment horizontal="center"/>
    </xf>
    <xf numFmtId="37" fontId="2" fillId="4" borderId="0" xfId="0" applyFont="1" applyFill="1"/>
    <xf numFmtId="37" fontId="2" fillId="4" borderId="12" xfId="0" applyFont="1" applyFill="1" applyBorder="1" applyAlignment="1">
      <alignment horizontal="center"/>
    </xf>
    <xf numFmtId="37" fontId="2" fillId="4" borderId="13" xfId="0" applyFont="1" applyFill="1" applyBorder="1" applyAlignment="1">
      <alignment horizontal="center"/>
    </xf>
    <xf numFmtId="37" fontId="2" fillId="3" borderId="14" xfId="0" applyFont="1" applyFill="1" applyBorder="1" applyAlignment="1">
      <alignment horizontal="center"/>
    </xf>
    <xf numFmtId="37" fontId="2" fillId="3" borderId="18" xfId="0" applyFont="1" applyFill="1" applyBorder="1" applyAlignment="1">
      <alignment horizontal="center"/>
    </xf>
    <xf numFmtId="37" fontId="5" fillId="0" borderId="0" xfId="0" applyFont="1" applyAlignment="1">
      <alignment horizontal="center"/>
    </xf>
    <xf numFmtId="37" fontId="2" fillId="3" borderId="19" xfId="0" applyFont="1" applyFill="1" applyBorder="1" applyAlignment="1">
      <alignment horizontal="center"/>
    </xf>
    <xf numFmtId="37" fontId="2" fillId="4" borderId="20" xfId="0" applyFont="1" applyFill="1" applyBorder="1" applyAlignment="1">
      <alignment horizontal="center"/>
    </xf>
    <xf numFmtId="37" fontId="2" fillId="3" borderId="0" xfId="0" applyFont="1" applyFill="1" applyAlignment="1">
      <alignment horizontal="center"/>
    </xf>
    <xf numFmtId="37" fontId="2" fillId="3" borderId="12" xfId="0" applyFont="1" applyFill="1" applyBorder="1" applyAlignment="1">
      <alignment horizontal="center"/>
    </xf>
    <xf numFmtId="37" fontId="2" fillId="3" borderId="21" xfId="0" applyFont="1" applyFill="1" applyBorder="1" applyAlignment="1">
      <alignment horizontal="center"/>
    </xf>
    <xf numFmtId="37" fontId="2" fillId="3" borderId="22" xfId="0" applyFont="1" applyFill="1" applyBorder="1" applyAlignment="1">
      <alignment horizontal="center"/>
    </xf>
    <xf numFmtId="37" fontId="2" fillId="4" borderId="23" xfId="0" applyFont="1" applyFill="1" applyBorder="1" applyAlignment="1">
      <alignment horizontal="center"/>
    </xf>
    <xf numFmtId="37" fontId="2" fillId="4" borderId="24" xfId="0" applyFont="1" applyFill="1" applyBorder="1" applyAlignment="1">
      <alignment horizontal="center"/>
    </xf>
    <xf numFmtId="37" fontId="2" fillId="3" borderId="27" xfId="0" applyFont="1" applyFill="1" applyBorder="1" applyAlignment="1">
      <alignment horizontal="center"/>
    </xf>
    <xf numFmtId="37" fontId="2" fillId="0" borderId="28" xfId="0" applyFont="1" applyBorder="1" applyAlignment="1">
      <alignment horizontal="center"/>
    </xf>
    <xf numFmtId="37" fontId="2" fillId="3" borderId="28" xfId="0" applyFont="1" applyFill="1" applyBorder="1" applyAlignment="1">
      <alignment horizontal="center"/>
    </xf>
    <xf numFmtId="39" fontId="2" fillId="3" borderId="22" xfId="0" applyNumberFormat="1" applyFont="1" applyFill="1" applyBorder="1" applyAlignment="1">
      <alignment horizontal="center"/>
    </xf>
    <xf numFmtId="164" fontId="5" fillId="0" borderId="0" xfId="2" applyNumberFormat="1" applyFont="1" applyFill="1" applyAlignment="1" applyProtection="1">
      <alignment horizontal="center"/>
    </xf>
    <xf numFmtId="37" fontId="2" fillId="0" borderId="30" xfId="0" applyFont="1" applyBorder="1" applyAlignment="1">
      <alignment horizontal="center"/>
    </xf>
    <xf numFmtId="49" fontId="2" fillId="0" borderId="28" xfId="0" applyNumberFormat="1" applyFont="1" applyBorder="1" applyAlignment="1" applyProtection="1">
      <alignment horizontal="center"/>
      <protection locked="0"/>
    </xf>
    <xf numFmtId="5" fontId="2" fillId="0" borderId="28" xfId="0" applyNumberFormat="1" applyFont="1" applyBorder="1" applyProtection="1">
      <protection locked="0"/>
    </xf>
    <xf numFmtId="5" fontId="2" fillId="0" borderId="30" xfId="0" applyNumberFormat="1" applyFont="1" applyBorder="1" applyAlignment="1">
      <alignment horizontal="right"/>
    </xf>
    <xf numFmtId="6" fontId="2" fillId="0" borderId="30" xfId="0" applyNumberFormat="1" applyFont="1" applyBorder="1" applyAlignment="1" applyProtection="1">
      <alignment horizontal="right"/>
      <protection locked="0"/>
    </xf>
    <xf numFmtId="14" fontId="5" fillId="0" borderId="0" xfId="0" applyNumberFormat="1" applyFont="1"/>
    <xf numFmtId="37" fontId="2" fillId="0" borderId="30" xfId="0" applyFont="1" applyBorder="1" applyAlignment="1">
      <alignment horizontal="right"/>
    </xf>
    <xf numFmtId="49" fontId="2" fillId="0" borderId="30" xfId="0" applyNumberFormat="1" applyFont="1" applyBorder="1" applyAlignment="1" applyProtection="1">
      <alignment horizontal="center"/>
      <protection locked="0"/>
    </xf>
    <xf numFmtId="37" fontId="8" fillId="0" borderId="31" xfId="0" applyFont="1" applyBorder="1" applyAlignment="1" applyProtection="1">
      <alignment horizontal="left" wrapText="1"/>
      <protection locked="0"/>
    </xf>
    <xf numFmtId="37" fontId="2" fillId="0" borderId="30" xfId="0" applyFont="1" applyBorder="1"/>
    <xf numFmtId="37" fontId="8" fillId="0" borderId="30" xfId="0" quotePrefix="1" applyFont="1" applyBorder="1" applyAlignment="1">
      <alignment horizontal="center"/>
    </xf>
    <xf numFmtId="37" fontId="8" fillId="0" borderId="30" xfId="0" quotePrefix="1" applyFont="1" applyBorder="1" applyAlignment="1" applyProtection="1">
      <alignment horizontal="center"/>
      <protection locked="0"/>
    </xf>
    <xf numFmtId="37" fontId="2" fillId="0" borderId="30" xfId="0" applyFont="1" applyBorder="1" applyAlignment="1" applyProtection="1">
      <alignment horizontal="center"/>
      <protection locked="0"/>
    </xf>
    <xf numFmtId="49" fontId="2" fillId="0" borderId="30" xfId="0" applyNumberFormat="1" applyFont="1" applyBorder="1" applyAlignment="1">
      <alignment horizontal="center"/>
    </xf>
    <xf numFmtId="37" fontId="2" fillId="6" borderId="30" xfId="0" applyFont="1" applyFill="1" applyBorder="1"/>
    <xf numFmtId="37" fontId="2" fillId="0" borderId="32" xfId="0" applyFont="1" applyBorder="1" applyAlignment="1">
      <alignment horizontal="center"/>
    </xf>
    <xf numFmtId="5" fontId="2" fillId="0" borderId="30" xfId="0" applyNumberFormat="1" applyFont="1" applyBorder="1"/>
    <xf numFmtId="37" fontId="2" fillId="4" borderId="12" xfId="0" applyFont="1" applyFill="1" applyBorder="1" applyAlignment="1">
      <alignment horizontal="center" wrapText="1"/>
    </xf>
    <xf numFmtId="37" fontId="2" fillId="4" borderId="13" xfId="0" applyFont="1" applyFill="1" applyBorder="1" applyAlignment="1">
      <alignment horizontal="center" wrapText="1"/>
    </xf>
    <xf numFmtId="49" fontId="2" fillId="0" borderId="28" xfId="0" applyNumberFormat="1" applyFont="1" applyBorder="1" applyAlignment="1" applyProtection="1">
      <alignment horizontal="left"/>
      <protection locked="0"/>
    </xf>
    <xf numFmtId="49" fontId="8" fillId="0" borderId="28" xfId="0" applyNumberFormat="1" applyFont="1" applyBorder="1" applyAlignment="1" applyProtection="1">
      <alignment horizontal="center"/>
      <protection locked="0"/>
    </xf>
    <xf numFmtId="37" fontId="8" fillId="0" borderId="30" xfId="0" applyFont="1" applyBorder="1" applyProtection="1">
      <protection locked="0"/>
    </xf>
    <xf numFmtId="37" fontId="8" fillId="0" borderId="30" xfId="0" applyFont="1" applyBorder="1"/>
    <xf numFmtId="37" fontId="8" fillId="0" borderId="28" xfId="0" applyFont="1" applyBorder="1" applyProtection="1">
      <protection locked="0"/>
    </xf>
    <xf numFmtId="37" fontId="8" fillId="0" borderId="30" xfId="0" applyFont="1" applyBorder="1" applyAlignment="1">
      <alignment horizontal="right"/>
    </xf>
    <xf numFmtId="49" fontId="8" fillId="0" borderId="30" xfId="0" applyNumberFormat="1" applyFont="1" applyBorder="1" applyAlignment="1" applyProtection="1">
      <alignment horizontal="center"/>
      <protection locked="0"/>
    </xf>
    <xf numFmtId="38" fontId="8" fillId="0" borderId="30" xfId="0" applyNumberFormat="1" applyFont="1" applyBorder="1" applyProtection="1">
      <protection locked="0"/>
    </xf>
    <xf numFmtId="49" fontId="8" fillId="0" borderId="30" xfId="0" applyNumberFormat="1" applyFont="1" applyBorder="1" applyAlignment="1" applyProtection="1">
      <alignment horizontal="left"/>
      <protection locked="0"/>
    </xf>
    <xf numFmtId="37" fontId="2" fillId="0" borderId="30" xfId="0" quotePrefix="1" applyFont="1" applyBorder="1" applyAlignment="1" applyProtection="1">
      <alignment horizontal="center"/>
      <protection locked="0"/>
    </xf>
    <xf numFmtId="5" fontId="8" fillId="0" borderId="28" xfId="0" applyNumberFormat="1" applyFont="1" applyBorder="1"/>
    <xf numFmtId="5" fontId="8" fillId="0" borderId="28" xfId="0" applyNumberFormat="1" applyFont="1" applyBorder="1" applyProtection="1">
      <protection locked="0"/>
    </xf>
    <xf numFmtId="5" fontId="8" fillId="0" borderId="30" xfId="0" applyNumberFormat="1" applyFont="1" applyBorder="1" applyAlignment="1">
      <alignment horizontal="right"/>
    </xf>
    <xf numFmtId="37" fontId="8" fillId="0" borderId="30" xfId="0" applyFont="1" applyBorder="1" applyAlignment="1" applyProtection="1">
      <alignment horizontal="center"/>
      <protection locked="0"/>
    </xf>
    <xf numFmtId="37" fontId="8" fillId="0" borderId="28" xfId="0" quotePrefix="1" applyFont="1" applyBorder="1" applyAlignment="1" applyProtection="1">
      <alignment horizontal="center"/>
      <protection locked="0"/>
    </xf>
    <xf numFmtId="49" fontId="2" fillId="0" borderId="30" xfId="0" applyNumberFormat="1" applyFont="1" applyBorder="1" applyAlignment="1">
      <alignment horizontal="center" wrapText="1"/>
    </xf>
    <xf numFmtId="37" fontId="8" fillId="5" borderId="30" xfId="0" applyFont="1" applyFill="1" applyBorder="1" applyProtection="1">
      <protection locked="0"/>
    </xf>
    <xf numFmtId="49" fontId="8" fillId="0" borderId="30" xfId="0" applyNumberFormat="1" applyFont="1" applyBorder="1" applyAlignment="1">
      <alignment horizontal="center" wrapText="1"/>
    </xf>
    <xf numFmtId="49" fontId="8" fillId="0" borderId="30" xfId="0" applyNumberFormat="1" applyFont="1" applyBorder="1" applyAlignment="1">
      <alignment horizontal="center"/>
    </xf>
    <xf numFmtId="37" fontId="8" fillId="0" borderId="18" xfId="0" applyFont="1" applyBorder="1" applyAlignment="1" applyProtection="1">
      <alignment horizontal="left" wrapText="1"/>
      <protection locked="0"/>
    </xf>
    <xf numFmtId="49" fontId="2" fillId="0" borderId="30" xfId="0" applyNumberFormat="1" applyFont="1" applyBorder="1" applyAlignment="1">
      <alignment horizontal="left"/>
    </xf>
    <xf numFmtId="49" fontId="8" fillId="0" borderId="30" xfId="0" applyNumberFormat="1" applyFont="1" applyBorder="1" applyAlignment="1">
      <alignment horizontal="left"/>
    </xf>
    <xf numFmtId="49" fontId="2" fillId="0" borderId="30" xfId="0" applyNumberFormat="1" applyFont="1" applyBorder="1" applyAlignment="1" applyProtection="1">
      <alignment horizontal="center" wrapText="1"/>
      <protection locked="0"/>
    </xf>
    <xf numFmtId="37" fontId="2" fillId="0" borderId="28" xfId="0" applyFont="1" applyBorder="1" applyAlignment="1" applyProtection="1">
      <alignment horizontal="center"/>
      <protection locked="0"/>
    </xf>
    <xf numFmtId="37" fontId="8" fillId="0" borderId="18" xfId="0" applyFont="1" applyBorder="1" applyAlignment="1" applyProtection="1">
      <alignment horizontal="center" wrapText="1"/>
      <protection locked="0"/>
    </xf>
    <xf numFmtId="37" fontId="2" fillId="0" borderId="0" xfId="0" applyFont="1" applyAlignment="1">
      <alignment horizontal="center" wrapText="1"/>
    </xf>
    <xf numFmtId="37" fontId="4" fillId="0" borderId="0" xfId="0" applyFont="1" applyAlignment="1" applyProtection="1">
      <alignment horizontal="center" wrapText="1"/>
      <protection locked="0"/>
    </xf>
    <xf numFmtId="37" fontId="4" fillId="0" borderId="0" xfId="0" applyFont="1" applyAlignment="1">
      <alignment horizontal="center" wrapText="1"/>
    </xf>
    <xf numFmtId="37" fontId="2" fillId="2" borderId="2" xfId="0" applyFont="1" applyFill="1" applyBorder="1" applyAlignment="1">
      <alignment horizontal="center" wrapText="1"/>
    </xf>
    <xf numFmtId="37" fontId="2" fillId="0" borderId="0" xfId="0" quotePrefix="1" applyFont="1" applyAlignment="1">
      <alignment horizontal="center" wrapText="1"/>
    </xf>
    <xf numFmtId="37" fontId="2" fillId="4" borderId="24" xfId="0" applyFont="1" applyFill="1" applyBorder="1" applyAlignment="1">
      <alignment horizontal="center" wrapText="1"/>
    </xf>
    <xf numFmtId="49" fontId="2" fillId="0" borderId="28" xfId="0" applyNumberFormat="1" applyFont="1" applyBorder="1" applyAlignment="1" applyProtection="1">
      <alignment horizontal="center" wrapText="1"/>
      <protection locked="0"/>
    </xf>
    <xf numFmtId="49" fontId="8" fillId="0" borderId="30" xfId="0" applyNumberFormat="1" applyFont="1" applyBorder="1" applyAlignment="1" applyProtection="1">
      <alignment horizontal="center" wrapText="1"/>
      <protection locked="0"/>
    </xf>
    <xf numFmtId="37" fontId="2" fillId="0" borderId="32" xfId="0" applyFont="1" applyBorder="1" applyAlignment="1">
      <alignment horizontal="center" wrapText="1"/>
    </xf>
    <xf numFmtId="37" fontId="6" fillId="0" borderId="0" xfId="0" applyFont="1" applyAlignment="1">
      <alignment horizontal="center" wrapText="1"/>
    </xf>
    <xf numFmtId="37" fontId="7" fillId="0" borderId="0" xfId="0" applyFont="1" applyAlignment="1">
      <alignment horizontal="center" wrapText="1"/>
    </xf>
    <xf numFmtId="37" fontId="8" fillId="0" borderId="36" xfId="0" applyFont="1" applyBorder="1" applyAlignment="1" applyProtection="1">
      <alignment horizontal="center" wrapText="1"/>
      <protection locked="0"/>
    </xf>
    <xf numFmtId="37" fontId="8" fillId="0" borderId="0" xfId="0" applyFont="1" applyAlignment="1" applyProtection="1">
      <alignment horizontal="center" wrapText="1"/>
      <protection locked="0"/>
    </xf>
    <xf numFmtId="37" fontId="8" fillId="0" borderId="33" xfId="0" applyFont="1" applyBorder="1" applyAlignment="1" applyProtection="1">
      <alignment horizontal="center" wrapText="1"/>
      <protection locked="0"/>
    </xf>
    <xf numFmtId="165" fontId="2" fillId="0" borderId="30" xfId="1" applyNumberFormat="1" applyFont="1" applyBorder="1" applyAlignment="1" applyProtection="1">
      <alignment horizontal="right"/>
      <protection locked="0"/>
    </xf>
    <xf numFmtId="14" fontId="8" fillId="0" borderId="33" xfId="0" applyNumberFormat="1" applyFont="1" applyBorder="1" applyAlignment="1" applyProtection="1">
      <alignment horizontal="center" wrapText="1"/>
      <protection locked="0"/>
    </xf>
    <xf numFmtId="14" fontId="8" fillId="0" borderId="21" xfId="0" applyNumberFormat="1" applyFont="1" applyBorder="1" applyAlignment="1" applyProtection="1">
      <alignment horizontal="center" wrapText="1"/>
      <protection locked="0"/>
    </xf>
    <xf numFmtId="14" fontId="8" fillId="0" borderId="18" xfId="0" applyNumberFormat="1" applyFont="1" applyBorder="1" applyAlignment="1" applyProtection="1">
      <alignment horizontal="center" wrapText="1"/>
      <protection locked="0"/>
    </xf>
    <xf numFmtId="14" fontId="8" fillId="0" borderId="28" xfId="0" applyNumberFormat="1" applyFont="1" applyBorder="1" applyAlignment="1" applyProtection="1">
      <alignment horizontal="center" wrapText="1"/>
      <protection locked="0"/>
    </xf>
    <xf numFmtId="14" fontId="8" fillId="0" borderId="30" xfId="0" applyNumberFormat="1" applyFont="1" applyBorder="1" applyAlignment="1" applyProtection="1">
      <alignment horizontal="center" wrapText="1"/>
      <protection locked="0"/>
    </xf>
    <xf numFmtId="14" fontId="2" fillId="0" borderId="30" xfId="0" applyNumberFormat="1" applyFont="1" applyBorder="1" applyAlignment="1">
      <alignment horizontal="center" wrapText="1"/>
    </xf>
    <xf numFmtId="49" fontId="8" fillId="0" borderId="22" xfId="0" applyNumberFormat="1" applyFont="1" applyBorder="1" applyAlignment="1" applyProtection="1">
      <alignment horizontal="left"/>
      <protection locked="0"/>
    </xf>
    <xf numFmtId="14" fontId="8" fillId="0" borderId="27" xfId="0" applyNumberFormat="1" applyFont="1" applyBorder="1" applyAlignment="1" applyProtection="1">
      <alignment horizontal="center" wrapText="1"/>
      <protection locked="0"/>
    </xf>
    <xf numFmtId="49" fontId="8" fillId="0" borderId="33" xfId="0" applyNumberFormat="1" applyFont="1" applyBorder="1" applyAlignment="1" applyProtection="1">
      <alignment horizontal="center" wrapText="1"/>
      <protection locked="0"/>
    </xf>
    <xf numFmtId="5" fontId="8" fillId="0" borderId="30" xfId="0" applyNumberFormat="1" applyFont="1" applyBorder="1"/>
    <xf numFmtId="165" fontId="2" fillId="0" borderId="30" xfId="1" applyNumberFormat="1" applyFont="1" applyFill="1" applyBorder="1" applyAlignment="1" applyProtection="1">
      <alignment horizontal="right"/>
      <protection locked="0"/>
    </xf>
    <xf numFmtId="49" fontId="2" fillId="0" borderId="28" xfId="0" applyNumberFormat="1" applyFont="1" applyBorder="1" applyAlignment="1">
      <alignment horizontal="center"/>
    </xf>
    <xf numFmtId="49" fontId="8" fillId="0" borderId="28" xfId="0" applyNumberFormat="1" applyFont="1" applyBorder="1" applyAlignment="1" applyProtection="1">
      <alignment horizontal="center" wrapText="1"/>
      <protection locked="0"/>
    </xf>
    <xf numFmtId="37" fontId="8" fillId="0" borderId="30" xfId="0" applyFont="1" applyBorder="1" applyAlignment="1">
      <alignment horizontal="center"/>
    </xf>
    <xf numFmtId="14" fontId="8" fillId="0" borderId="30" xfId="0" applyNumberFormat="1" applyFont="1" applyBorder="1" applyAlignment="1">
      <alignment horizontal="center" wrapText="1"/>
    </xf>
    <xf numFmtId="37" fontId="13" fillId="0" borderId="0" xfId="0" applyFont="1"/>
    <xf numFmtId="6" fontId="8" fillId="0" borderId="30" xfId="0" applyNumberFormat="1" applyFont="1" applyBorder="1" applyAlignment="1" applyProtection="1">
      <alignment horizontal="right"/>
      <protection locked="0"/>
    </xf>
    <xf numFmtId="165" fontId="8" fillId="0" borderId="30" xfId="1" applyNumberFormat="1" applyFont="1" applyBorder="1" applyAlignment="1" applyProtection="1">
      <alignment horizontal="right"/>
      <protection locked="0"/>
    </xf>
    <xf numFmtId="37" fontId="2" fillId="7" borderId="2" xfId="0" applyFont="1" applyFill="1" applyBorder="1" applyAlignment="1">
      <alignment horizontal="centerContinuous"/>
    </xf>
    <xf numFmtId="37" fontId="2" fillId="7" borderId="3" xfId="0" applyFont="1" applyFill="1" applyBorder="1" applyAlignment="1">
      <alignment horizontal="centerContinuous"/>
    </xf>
    <xf numFmtId="37" fontId="2" fillId="7" borderId="1" xfId="0" applyFont="1" applyFill="1" applyBorder="1" applyAlignment="1">
      <alignment horizontal="centerContinuous"/>
    </xf>
    <xf numFmtId="49" fontId="8" fillId="0" borderId="13" xfId="0" applyNumberFormat="1" applyFont="1" applyBorder="1" applyAlignment="1" applyProtection="1">
      <alignment horizontal="center" wrapText="1"/>
      <protection locked="0"/>
    </xf>
    <xf numFmtId="165" fontId="8" fillId="0" borderId="30" xfId="1" applyNumberFormat="1" applyFont="1" applyFill="1" applyBorder="1" applyAlignment="1" applyProtection="1">
      <alignment horizontal="right"/>
      <protection locked="0"/>
    </xf>
    <xf numFmtId="49" fontId="8" fillId="0" borderId="28" xfId="0" applyNumberFormat="1" applyFont="1" applyBorder="1" applyAlignment="1">
      <alignment horizontal="center" wrapText="1"/>
    </xf>
    <xf numFmtId="37" fontId="2" fillId="0" borderId="7" xfId="0" quotePrefix="1" applyFont="1" applyBorder="1" applyAlignment="1">
      <alignment horizontal="center"/>
    </xf>
    <xf numFmtId="37" fontId="2" fillId="0" borderId="12" xfId="0" applyFont="1" applyBorder="1" applyAlignment="1">
      <alignment horizontal="center"/>
    </xf>
    <xf numFmtId="37" fontId="2" fillId="0" borderId="13" xfId="0" applyFont="1" applyBorder="1" applyAlignment="1">
      <alignment horizontal="center"/>
    </xf>
    <xf numFmtId="37" fontId="2" fillId="0" borderId="24" xfId="0" applyFont="1" applyBorder="1" applyAlignment="1">
      <alignment horizontal="center"/>
    </xf>
    <xf numFmtId="37" fontId="8" fillId="0" borderId="35" xfId="0" applyFont="1" applyBorder="1" applyAlignment="1" applyProtection="1">
      <alignment horizontal="center" wrapText="1"/>
      <protection locked="0"/>
    </xf>
    <xf numFmtId="49" fontId="8" fillId="0" borderId="28" xfId="0" applyNumberFormat="1" applyFont="1" applyBorder="1" applyAlignment="1" applyProtection="1">
      <alignment horizontal="left"/>
      <protection locked="0"/>
    </xf>
    <xf numFmtId="49" fontId="8" fillId="0" borderId="18" xfId="0" applyNumberFormat="1" applyFont="1" applyBorder="1" applyAlignment="1">
      <alignment horizontal="left"/>
    </xf>
    <xf numFmtId="49" fontId="8" fillId="0" borderId="18" xfId="0" applyNumberFormat="1" applyFont="1" applyBorder="1" applyAlignment="1">
      <alignment horizontal="center" wrapText="1"/>
    </xf>
    <xf numFmtId="14" fontId="8" fillId="0" borderId="18" xfId="0" applyNumberFormat="1" applyFont="1" applyBorder="1" applyAlignment="1">
      <alignment horizontal="center" wrapText="1"/>
    </xf>
    <xf numFmtId="49" fontId="2" fillId="0" borderId="28" xfId="0" quotePrefix="1" applyNumberFormat="1" applyFont="1" applyBorder="1" applyAlignment="1" applyProtection="1">
      <alignment horizontal="center"/>
      <protection locked="0"/>
    </xf>
    <xf numFmtId="37" fontId="8" fillId="0" borderId="28" xfId="0" applyFont="1" applyBorder="1" applyAlignment="1" applyProtection="1">
      <alignment horizontal="center"/>
      <protection locked="0"/>
    </xf>
    <xf numFmtId="49" fontId="8" fillId="0" borderId="34" xfId="0" applyNumberFormat="1" applyFont="1" applyBorder="1" applyAlignment="1" applyProtection="1">
      <alignment horizontal="center"/>
      <protection locked="0"/>
    </xf>
    <xf numFmtId="37" fontId="2" fillId="0" borderId="12" xfId="0" applyFont="1" applyBorder="1" applyAlignment="1" applyProtection="1">
      <alignment horizontal="center"/>
      <protection locked="0"/>
    </xf>
    <xf numFmtId="49" fontId="10" fillId="0" borderId="12" xfId="0" applyNumberFormat="1" applyFont="1" applyBorder="1" applyAlignment="1" applyProtection="1">
      <alignment horizontal="center"/>
      <protection locked="0"/>
    </xf>
    <xf numFmtId="37" fontId="8" fillId="0" borderId="33" xfId="0" applyFont="1" applyBorder="1" applyAlignment="1" applyProtection="1">
      <alignment horizontal="center"/>
      <protection locked="0"/>
    </xf>
    <xf numFmtId="49" fontId="8" fillId="0" borderId="33" xfId="0" applyNumberFormat="1" applyFont="1" applyBorder="1" applyAlignment="1" applyProtection="1">
      <alignment horizontal="center"/>
      <protection locked="0"/>
    </xf>
    <xf numFmtId="37" fontId="8" fillId="0" borderId="33" xfId="0" applyFont="1" applyBorder="1" applyAlignment="1" applyProtection="1">
      <alignment horizontal="left" wrapText="1"/>
      <protection locked="0"/>
    </xf>
    <xf numFmtId="37" fontId="8" fillId="0" borderId="21" xfId="0" applyFont="1" applyBorder="1" applyAlignment="1" applyProtection="1">
      <alignment horizontal="left" wrapText="1"/>
      <protection locked="0"/>
    </xf>
    <xf numFmtId="37" fontId="8" fillId="0" borderId="21" xfId="0" applyFont="1" applyBorder="1" applyAlignment="1" applyProtection="1">
      <alignment horizontal="center" wrapText="1"/>
      <protection locked="0"/>
    </xf>
    <xf numFmtId="14" fontId="8" fillId="0" borderId="12" xfId="0" applyNumberFormat="1" applyFont="1" applyBorder="1" applyAlignment="1" applyProtection="1">
      <alignment horizontal="center" wrapText="1"/>
      <protection locked="0"/>
    </xf>
    <xf numFmtId="14" fontId="8" fillId="0" borderId="30" xfId="0" applyNumberFormat="1" applyFont="1" applyBorder="1" applyAlignment="1">
      <alignment horizontal="center"/>
    </xf>
    <xf numFmtId="37" fontId="8" fillId="0" borderId="28" xfId="0" applyFont="1" applyBorder="1"/>
    <xf numFmtId="37" fontId="11" fillId="0" borderId="0" xfId="0" applyFont="1"/>
    <xf numFmtId="37" fontId="12" fillId="0" borderId="0" xfId="0" applyFont="1"/>
    <xf numFmtId="49" fontId="16" fillId="0" borderId="30" xfId="0" applyNumberFormat="1" applyFont="1" applyBorder="1" applyAlignment="1">
      <alignment horizontal="center" wrapText="1"/>
    </xf>
    <xf numFmtId="37" fontId="14" fillId="0" borderId="0" xfId="0" applyFont="1"/>
    <xf numFmtId="14" fontId="8" fillId="0" borderId="28" xfId="0" applyNumberFormat="1" applyFont="1" applyBorder="1" applyAlignment="1">
      <alignment horizontal="center"/>
    </xf>
    <xf numFmtId="37" fontId="8" fillId="0" borderId="28" xfId="0" applyFont="1" applyBorder="1" applyAlignment="1">
      <alignment horizontal="right"/>
    </xf>
    <xf numFmtId="37" fontId="8" fillId="0" borderId="31" xfId="0" applyFont="1" applyBorder="1" applyAlignment="1" applyProtection="1">
      <alignment horizontal="left"/>
      <protection locked="0"/>
    </xf>
    <xf numFmtId="14" fontId="8" fillId="0" borderId="30" xfId="0" applyNumberFormat="1" applyFont="1" applyBorder="1" applyAlignment="1" applyProtection="1">
      <alignment horizontal="center"/>
      <protection locked="0"/>
    </xf>
    <xf numFmtId="49" fontId="2" fillId="0" borderId="27" xfId="0" applyNumberFormat="1" applyFont="1" applyBorder="1" applyAlignment="1" applyProtection="1">
      <alignment horizontal="center"/>
      <protection locked="0"/>
    </xf>
    <xf numFmtId="49" fontId="8" fillId="0" borderId="27" xfId="0" applyNumberFormat="1" applyFont="1" applyBorder="1" applyAlignment="1" applyProtection="1">
      <alignment horizontal="center"/>
      <protection locked="0"/>
    </xf>
    <xf numFmtId="49" fontId="8" fillId="0" borderId="37" xfId="0" applyNumberFormat="1" applyFont="1" applyBorder="1" applyAlignment="1">
      <alignment horizontal="center"/>
    </xf>
    <xf numFmtId="49" fontId="2" fillId="0" borderId="37" xfId="0" applyNumberFormat="1" applyFont="1" applyBorder="1" applyAlignment="1" applyProtection="1">
      <alignment horizontal="center"/>
      <protection locked="0"/>
    </xf>
    <xf numFmtId="49" fontId="8" fillId="0" borderId="37" xfId="0" applyNumberFormat="1" applyFont="1" applyBorder="1" applyAlignment="1" applyProtection="1">
      <alignment horizontal="center"/>
      <protection locked="0"/>
    </xf>
    <xf numFmtId="37" fontId="2" fillId="0" borderId="30" xfId="0" quotePrefix="1" applyFont="1" applyBorder="1" applyAlignment="1">
      <alignment horizontal="center"/>
    </xf>
    <xf numFmtId="37" fontId="2" fillId="0" borderId="5" xfId="0" applyFont="1" applyBorder="1"/>
    <xf numFmtId="37" fontId="2" fillId="0" borderId="8" xfId="0" quotePrefix="1" applyFont="1" applyBorder="1" applyAlignment="1">
      <alignment horizontal="center"/>
    </xf>
    <xf numFmtId="37" fontId="2" fillId="0" borderId="25" xfId="0" applyFont="1" applyBorder="1" applyAlignment="1">
      <alignment horizontal="center"/>
    </xf>
    <xf numFmtId="37" fontId="10" fillId="0" borderId="26" xfId="0" applyFont="1" applyBorder="1" applyAlignment="1">
      <alignment horizontal="center"/>
    </xf>
    <xf numFmtId="14" fontId="2" fillId="0" borderId="28" xfId="0" applyNumberFormat="1" applyFont="1" applyBorder="1" applyAlignment="1" applyProtection="1">
      <alignment horizontal="center"/>
      <protection locked="0"/>
    </xf>
    <xf numFmtId="14" fontId="2" fillId="0" borderId="30" xfId="0" applyNumberFormat="1" applyFont="1" applyBorder="1" applyAlignment="1" applyProtection="1">
      <alignment horizontal="center"/>
      <protection locked="0"/>
    </xf>
    <xf numFmtId="37" fontId="2" fillId="0" borderId="28" xfId="0" applyFont="1" applyBorder="1" applyProtection="1">
      <protection locked="0"/>
    </xf>
    <xf numFmtId="14" fontId="2" fillId="0" borderId="30" xfId="0" applyNumberFormat="1" applyFont="1" applyBorder="1" applyAlignment="1">
      <alignment horizontal="center"/>
    </xf>
    <xf numFmtId="37" fontId="2" fillId="0" borderId="28" xfId="0" applyFont="1" applyBorder="1"/>
    <xf numFmtId="6" fontId="2" fillId="0" borderId="28" xfId="0" applyNumberFormat="1" applyFont="1" applyBorder="1" applyProtection="1">
      <protection locked="0"/>
    </xf>
    <xf numFmtId="38" fontId="2" fillId="0" borderId="28" xfId="0" applyNumberFormat="1" applyFont="1" applyBorder="1" applyProtection="1">
      <protection locked="0"/>
    </xf>
    <xf numFmtId="14" fontId="2" fillId="0" borderId="28" xfId="0" applyNumberFormat="1" applyFont="1" applyBorder="1" applyAlignment="1">
      <alignment horizontal="center"/>
    </xf>
    <xf numFmtId="14" fontId="8" fillId="0" borderId="28" xfId="0" applyNumberFormat="1" applyFont="1" applyBorder="1" applyAlignment="1" applyProtection="1">
      <alignment horizontal="center"/>
      <protection locked="0"/>
    </xf>
    <xf numFmtId="10" fontId="2" fillId="0" borderId="30" xfId="0" quotePrefix="1" applyNumberFormat="1" applyFont="1" applyBorder="1" applyAlignment="1">
      <alignment horizontal="center"/>
    </xf>
    <xf numFmtId="37" fontId="2" fillId="0" borderId="16" xfId="0" applyFont="1" applyBorder="1" applyAlignment="1">
      <alignment horizontal="center"/>
    </xf>
    <xf numFmtId="37" fontId="2" fillId="0" borderId="17" xfId="0" applyFont="1" applyBorder="1" applyAlignment="1">
      <alignment horizontal="center"/>
    </xf>
    <xf numFmtId="37" fontId="2" fillId="0" borderId="11" xfId="0" applyFont="1" applyBorder="1" applyAlignment="1">
      <alignment horizontal="center"/>
    </xf>
    <xf numFmtId="37" fontId="2" fillId="0" borderId="5" xfId="0" applyFont="1" applyBorder="1" applyAlignment="1">
      <alignment horizontal="center"/>
    </xf>
    <xf numFmtId="37" fontId="2" fillId="0" borderId="23" xfId="0" quotePrefix="1" applyFont="1" applyBorder="1" applyAlignment="1">
      <alignment horizontal="center"/>
    </xf>
    <xf numFmtId="37" fontId="2" fillId="0" borderId="29" xfId="0" quotePrefix="1" applyFont="1" applyBorder="1" applyAlignment="1">
      <alignment horizontal="center"/>
    </xf>
    <xf numFmtId="6" fontId="2" fillId="0" borderId="28" xfId="0" applyNumberFormat="1" applyFont="1" applyBorder="1" applyAlignment="1" applyProtection="1">
      <alignment horizontal="right"/>
      <protection locked="0"/>
    </xf>
    <xf numFmtId="38" fontId="2" fillId="0" borderId="30" xfId="0" applyNumberFormat="1" applyFont="1" applyBorder="1" applyAlignment="1" applyProtection="1">
      <alignment horizontal="right"/>
      <protection locked="0"/>
    </xf>
    <xf numFmtId="38" fontId="8" fillId="0" borderId="30" xfId="0" applyNumberFormat="1" applyFont="1" applyBorder="1" applyAlignment="1" applyProtection="1">
      <alignment horizontal="right"/>
      <protection locked="0"/>
    </xf>
    <xf numFmtId="5" fontId="8" fillId="0" borderId="28" xfId="0" applyNumberFormat="1" applyFont="1" applyBorder="1" applyAlignment="1">
      <alignment horizontal="right"/>
    </xf>
    <xf numFmtId="5" fontId="2" fillId="0" borderId="28" xfId="0" applyNumberFormat="1" applyFont="1" applyBorder="1" applyAlignment="1">
      <alignment horizontal="right"/>
    </xf>
    <xf numFmtId="37" fontId="2" fillId="0" borderId="28" xfId="0" applyFont="1" applyBorder="1" applyAlignment="1">
      <alignment horizontal="right"/>
    </xf>
    <xf numFmtId="38" fontId="8" fillId="0" borderId="28" xfId="0" applyNumberFormat="1" applyFont="1" applyBorder="1" applyAlignment="1" applyProtection="1">
      <alignment horizontal="right"/>
      <protection locked="0"/>
    </xf>
    <xf numFmtId="37" fontId="2" fillId="0" borderId="14" xfId="0" applyFont="1" applyBorder="1" applyAlignment="1">
      <alignment horizontal="center" vertical="center"/>
    </xf>
    <xf numFmtId="37" fontId="9" fillId="0" borderId="15" xfId="0" applyFont="1" applyBorder="1" applyAlignment="1">
      <alignment horizontal="center" vertical="center"/>
    </xf>
    <xf numFmtId="37" fontId="9" fillId="0" borderId="6" xfId="0" applyFont="1" applyBorder="1" applyAlignment="1">
      <alignment horizontal="center" vertical="center"/>
    </xf>
    <xf numFmtId="37" fontId="9" fillId="0" borderId="8" xfId="0" applyFont="1" applyBorder="1" applyAlignment="1">
      <alignment horizontal="center" vertical="center"/>
    </xf>
    <xf numFmtId="37" fontId="8" fillId="5" borderId="30" xfId="0" applyFont="1" applyFill="1" applyBorder="1" applyAlignment="1">
      <alignment horizontal="center"/>
    </xf>
    <xf numFmtId="49" fontId="8" fillId="5" borderId="28" xfId="0" applyNumberFormat="1" applyFont="1" applyFill="1" applyBorder="1" applyAlignment="1" applyProtection="1">
      <alignment horizontal="center"/>
      <protection locked="0"/>
    </xf>
    <xf numFmtId="49" fontId="8" fillId="5" borderId="30" xfId="0" applyNumberFormat="1" applyFont="1" applyFill="1" applyBorder="1" applyAlignment="1">
      <alignment horizontal="center" wrapText="1"/>
    </xf>
    <xf numFmtId="49" fontId="8" fillId="5" borderId="18" xfId="0" applyNumberFormat="1" applyFont="1" applyFill="1" applyBorder="1" applyAlignment="1">
      <alignment horizontal="left"/>
    </xf>
    <xf numFmtId="49" fontId="8" fillId="5" borderId="18" xfId="0" applyNumberFormat="1" applyFont="1" applyFill="1" applyBorder="1" applyAlignment="1">
      <alignment horizontal="center" wrapText="1"/>
    </xf>
    <xf numFmtId="14" fontId="8" fillId="5" borderId="18" xfId="0" applyNumberFormat="1" applyFont="1" applyFill="1" applyBorder="1" applyAlignment="1">
      <alignment horizontal="center" wrapText="1"/>
    </xf>
    <xf numFmtId="49" fontId="8" fillId="5" borderId="30" xfId="0" applyNumberFormat="1" applyFont="1" applyFill="1" applyBorder="1" applyAlignment="1">
      <alignment horizontal="center"/>
    </xf>
    <xf numFmtId="37" fontId="8" fillId="5" borderId="30" xfId="0" applyFont="1" applyFill="1" applyBorder="1"/>
    <xf numFmtId="5" fontId="8" fillId="5" borderId="28" xfId="0" applyNumberFormat="1" applyFont="1" applyFill="1" applyBorder="1" applyProtection="1">
      <protection locked="0"/>
    </xf>
    <xf numFmtId="14" fontId="8" fillId="5" borderId="30" xfId="0" applyNumberFormat="1" applyFont="1" applyFill="1" applyBorder="1" applyAlignment="1">
      <alignment horizontal="center"/>
    </xf>
    <xf numFmtId="37" fontId="8" fillId="5" borderId="28" xfId="0" applyFont="1" applyFill="1" applyBorder="1"/>
    <xf numFmtId="37" fontId="8" fillId="5" borderId="30" xfId="0" applyFont="1" applyFill="1" applyBorder="1" applyAlignment="1">
      <alignment horizontal="right"/>
    </xf>
  </cellXfs>
  <cellStyles count="4">
    <cellStyle name="Comma" xfId="1" builtinId="3"/>
    <cellStyle name="Normal" xfId="0" builtinId="0"/>
    <cellStyle name="Normal 2" xfId="3" xr:uid="{373014EB-C1EF-4D3D-A2F4-9E893C8A3BD7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EDDE62-F157-4E02-9937-6ADFB2C258E8}">
  <sheetPr>
    <tabColor rgb="FF92D050"/>
  </sheetPr>
  <dimension ref="A1:BX211"/>
  <sheetViews>
    <sheetView tabSelected="1" topLeftCell="A67" zoomScale="90" zoomScaleNormal="90" workbookViewId="0">
      <selection activeCell="A90" sqref="A90"/>
    </sheetView>
  </sheetViews>
  <sheetFormatPr defaultColWidth="8.6640625" defaultRowHeight="11.25"/>
  <cols>
    <col min="1" max="1" width="4.21875" style="6" customWidth="1"/>
    <col min="2" max="2" width="6.33203125" style="6" customWidth="1"/>
    <col min="3" max="3" width="25" style="6" customWidth="1"/>
    <col min="4" max="4" width="18.88671875" style="6" customWidth="1"/>
    <col min="5" max="5" width="18.88671875" style="92" customWidth="1"/>
    <col min="6" max="6" width="8.5546875" style="92" customWidth="1"/>
    <col min="7" max="7" width="8" style="6" customWidth="1"/>
    <col min="8" max="8" width="9.6640625" style="6" bestFit="1" customWidth="1"/>
    <col min="9" max="9" width="6.6640625" style="6" customWidth="1"/>
    <col min="10" max="10" width="6.33203125" style="6" customWidth="1"/>
    <col min="11" max="11" width="9.5546875" style="6" customWidth="1"/>
    <col min="12" max="12" width="6.6640625" style="6" customWidth="1"/>
    <col min="13" max="13" width="9.44140625" style="6" bestFit="1" customWidth="1"/>
    <col min="14" max="14" width="10.6640625" style="6" customWidth="1"/>
    <col min="15" max="16" width="8.6640625" style="6" customWidth="1"/>
    <col min="17" max="17" width="8" style="6" customWidth="1"/>
    <col min="18" max="18" width="7.21875" style="6" bestFit="1" customWidth="1"/>
    <col min="19" max="20" width="8.6640625" style="6" customWidth="1"/>
    <col min="21" max="21" width="10.5546875" style="6" bestFit="1" customWidth="1"/>
    <col min="22" max="22" width="9.21875" style="6" bestFit="1" customWidth="1"/>
    <col min="23" max="16384" width="8.6640625" style="6"/>
  </cols>
  <sheetData>
    <row r="1" spans="1:76" ht="15.75">
      <c r="A1" s="1"/>
      <c r="B1" s="1"/>
      <c r="C1" s="1"/>
      <c r="D1" s="1"/>
      <c r="E1" s="82"/>
      <c r="F1" s="82"/>
      <c r="G1" s="1"/>
      <c r="H1" s="2" t="s">
        <v>0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3" t="s">
        <v>0</v>
      </c>
      <c r="V1" s="1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</row>
    <row r="2" spans="1:76" ht="12.75">
      <c r="A2" s="3" t="s">
        <v>1</v>
      </c>
      <c r="B2" s="3"/>
      <c r="C2" s="3"/>
      <c r="D2" s="7" t="s">
        <v>2</v>
      </c>
      <c r="E2" s="83"/>
      <c r="F2" s="83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</row>
    <row r="3" spans="1:76" ht="8.1" customHeight="1">
      <c r="A3" s="3"/>
      <c r="B3" s="3"/>
      <c r="C3" s="3"/>
      <c r="D3" s="7"/>
      <c r="E3" s="83"/>
      <c r="F3" s="83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</row>
    <row r="4" spans="1:76" ht="12.75">
      <c r="A4" s="3"/>
      <c r="B4" s="3"/>
      <c r="C4" s="3"/>
      <c r="D4" s="3" t="s">
        <v>454</v>
      </c>
      <c r="E4" s="84"/>
      <c r="F4" s="84"/>
      <c r="H4" s="1"/>
      <c r="I4" s="1"/>
      <c r="J4" s="1"/>
      <c r="K4" s="1"/>
      <c r="L4" s="1"/>
      <c r="M4" s="1"/>
      <c r="N4" s="8"/>
      <c r="O4" s="8"/>
      <c r="P4" s="8"/>
      <c r="Q4" s="8"/>
      <c r="R4" s="8"/>
      <c r="S4" s="8"/>
      <c r="T4" s="8"/>
      <c r="U4" s="8"/>
      <c r="V4" s="1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</row>
    <row r="5" spans="1:76" ht="15">
      <c r="A5" s="1"/>
      <c r="B5" s="1"/>
      <c r="C5" s="1"/>
      <c r="D5" s="1"/>
      <c r="E5" s="82"/>
      <c r="F5" s="82"/>
      <c r="G5" s="1"/>
      <c r="H5"/>
      <c r="I5"/>
      <c r="J5"/>
      <c r="K5"/>
      <c r="L5"/>
      <c r="M5" s="1"/>
      <c r="N5" s="1" t="s">
        <v>0</v>
      </c>
      <c r="O5" s="1"/>
      <c r="P5" s="1"/>
      <c r="Q5" s="1"/>
      <c r="R5" s="1"/>
      <c r="S5"/>
      <c r="T5"/>
      <c r="U5" s="1"/>
      <c r="V5" s="1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</row>
    <row r="6" spans="1:76" ht="15.75" thickBot="1">
      <c r="A6" s="1"/>
      <c r="B6" s="1"/>
      <c r="C6" s="1"/>
      <c r="D6" s="1"/>
      <c r="E6" s="82"/>
      <c r="F6" s="82"/>
      <c r="G6" s="1"/>
      <c r="H6"/>
      <c r="I6"/>
      <c r="J6"/>
      <c r="K6"/>
      <c r="L6"/>
      <c r="M6" s="1"/>
      <c r="N6" s="1"/>
      <c r="O6" s="1"/>
      <c r="P6" s="1"/>
      <c r="Q6" s="1"/>
      <c r="R6" s="1"/>
      <c r="S6"/>
      <c r="T6"/>
      <c r="U6" s="1"/>
      <c r="V6" s="1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</row>
    <row r="7" spans="1:76" ht="12.75" thickTop="1" thickBot="1">
      <c r="A7" s="1"/>
      <c r="B7" s="9" t="s">
        <v>3</v>
      </c>
      <c r="C7" s="10"/>
      <c r="D7" s="10"/>
      <c r="E7" s="85"/>
      <c r="F7" s="85"/>
      <c r="G7" s="115"/>
      <c r="H7" s="10"/>
      <c r="I7" s="10"/>
      <c r="J7" s="10"/>
      <c r="K7" s="115"/>
      <c r="L7" s="116"/>
      <c r="M7" s="1"/>
      <c r="N7" s="1"/>
      <c r="O7" s="1"/>
      <c r="P7" s="1"/>
      <c r="Q7" s="1"/>
      <c r="R7" s="1"/>
      <c r="S7" s="117" t="s">
        <v>3</v>
      </c>
      <c r="T7" s="116"/>
      <c r="U7" s="1"/>
      <c r="V7" s="1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</row>
    <row r="8" spans="1:76" ht="12" thickTop="1">
      <c r="A8" s="1"/>
      <c r="B8" s="11"/>
      <c r="C8" s="1"/>
      <c r="D8" s="1"/>
      <c r="E8" s="82"/>
      <c r="F8" s="82"/>
      <c r="G8" s="1"/>
      <c r="H8" s="1"/>
      <c r="I8" s="1"/>
      <c r="J8" s="1"/>
      <c r="K8" s="1"/>
      <c r="L8" s="157"/>
      <c r="M8" s="1"/>
      <c r="N8" s="1"/>
      <c r="O8" s="1"/>
      <c r="P8" s="1"/>
      <c r="Q8" s="1"/>
      <c r="R8" s="1"/>
      <c r="S8" s="11"/>
      <c r="T8" s="157"/>
      <c r="U8" s="1"/>
      <c r="V8" s="1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</row>
    <row r="9" spans="1:76">
      <c r="A9" s="1"/>
      <c r="B9" s="12" t="s">
        <v>4</v>
      </c>
      <c r="C9" s="13" t="s">
        <v>5</v>
      </c>
      <c r="D9" s="14" t="s">
        <v>6</v>
      </c>
      <c r="E9" s="86"/>
      <c r="F9" s="86"/>
      <c r="G9" s="13" t="s">
        <v>7</v>
      </c>
      <c r="H9" s="14" t="s">
        <v>8</v>
      </c>
      <c r="I9" s="121" t="s">
        <v>9</v>
      </c>
      <c r="J9" s="121" t="s">
        <v>10</v>
      </c>
      <c r="K9" s="121" t="s">
        <v>11</v>
      </c>
      <c r="L9" s="158" t="s">
        <v>12</v>
      </c>
      <c r="M9" s="13" t="s">
        <v>13</v>
      </c>
      <c r="N9" s="13" t="s">
        <v>14</v>
      </c>
      <c r="O9" s="14" t="s">
        <v>15</v>
      </c>
      <c r="P9" s="14" t="s">
        <v>16</v>
      </c>
      <c r="Q9" s="14" t="s">
        <v>17</v>
      </c>
      <c r="R9" s="14" t="s">
        <v>18</v>
      </c>
      <c r="S9" s="15" t="s">
        <v>19</v>
      </c>
      <c r="T9" s="158" t="s">
        <v>20</v>
      </c>
      <c r="U9" s="15" t="s">
        <v>21</v>
      </c>
      <c r="V9" s="16" t="s">
        <v>22</v>
      </c>
      <c r="W9" s="16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</row>
    <row r="10" spans="1:76">
      <c r="A10" s="17"/>
      <c r="B10" s="18" t="s">
        <v>0</v>
      </c>
      <c r="C10" s="19"/>
      <c r="D10" s="20" t="s">
        <v>0</v>
      </c>
      <c r="E10" s="55"/>
      <c r="F10" s="55" t="s">
        <v>427</v>
      </c>
      <c r="G10" s="122" t="s">
        <v>0</v>
      </c>
      <c r="H10" s="122" t="s">
        <v>0</v>
      </c>
      <c r="I10" s="123"/>
      <c r="J10" s="123" t="s">
        <v>0</v>
      </c>
      <c r="K10" s="184" t="s">
        <v>23</v>
      </c>
      <c r="L10" s="185"/>
      <c r="M10" s="22" t="s">
        <v>0</v>
      </c>
      <c r="N10" s="17"/>
      <c r="O10" s="22"/>
      <c r="P10" s="22"/>
      <c r="Q10" s="22" t="s">
        <v>24</v>
      </c>
      <c r="R10" s="22"/>
      <c r="S10" s="171"/>
      <c r="T10" s="172"/>
      <c r="U10" s="23"/>
      <c r="V10" s="23"/>
      <c r="W10" s="24"/>
      <c r="X10" s="24"/>
      <c r="Y10" s="2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</row>
    <row r="11" spans="1:76">
      <c r="A11" s="25"/>
      <c r="B11" s="26" t="s">
        <v>25</v>
      </c>
      <c r="C11" s="21" t="s">
        <v>25</v>
      </c>
      <c r="D11" s="21" t="s">
        <v>26</v>
      </c>
      <c r="E11" s="56" t="s">
        <v>415</v>
      </c>
      <c r="F11" s="56" t="s">
        <v>426</v>
      </c>
      <c r="G11" s="123" t="s">
        <v>27</v>
      </c>
      <c r="H11" s="123" t="s">
        <v>0</v>
      </c>
      <c r="I11" s="123"/>
      <c r="J11" s="123" t="s">
        <v>0</v>
      </c>
      <c r="K11" s="186"/>
      <c r="L11" s="187"/>
      <c r="M11" s="27" t="s">
        <v>28</v>
      </c>
      <c r="N11" s="28" t="s">
        <v>29</v>
      </c>
      <c r="O11" s="28" t="s">
        <v>30</v>
      </c>
      <c r="P11" s="28" t="s">
        <v>31</v>
      </c>
      <c r="Q11" s="28" t="s">
        <v>32</v>
      </c>
      <c r="R11" s="17" t="s">
        <v>33</v>
      </c>
      <c r="S11" s="173" t="s">
        <v>34</v>
      </c>
      <c r="T11" s="174" t="s">
        <v>35</v>
      </c>
      <c r="U11" s="23" t="s">
        <v>36</v>
      </c>
      <c r="V11" s="29" t="s">
        <v>37</v>
      </c>
      <c r="W11" s="24"/>
      <c r="X11" s="24"/>
      <c r="Y11" s="2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</row>
    <row r="12" spans="1:76" ht="12" thickBot="1">
      <c r="A12" s="30" t="s">
        <v>38</v>
      </c>
      <c r="B12" s="31" t="s">
        <v>39</v>
      </c>
      <c r="C12" s="32" t="s">
        <v>40</v>
      </c>
      <c r="D12" s="32" t="s">
        <v>41</v>
      </c>
      <c r="E12" s="87" t="s">
        <v>416</v>
      </c>
      <c r="F12" s="87" t="s">
        <v>425</v>
      </c>
      <c r="G12" s="124" t="s">
        <v>42</v>
      </c>
      <c r="H12" s="124" t="s">
        <v>43</v>
      </c>
      <c r="I12" s="124" t="s">
        <v>44</v>
      </c>
      <c r="J12" s="124" t="s">
        <v>45</v>
      </c>
      <c r="K12" s="159" t="s">
        <v>46</v>
      </c>
      <c r="L12" s="160" t="s">
        <v>47</v>
      </c>
      <c r="M12" s="33" t="s">
        <v>48</v>
      </c>
      <c r="N12" s="34" t="s">
        <v>49</v>
      </c>
      <c r="O12" s="35" t="s">
        <v>50</v>
      </c>
      <c r="P12" s="35" t="s">
        <v>51</v>
      </c>
      <c r="Q12" s="35" t="s">
        <v>52</v>
      </c>
      <c r="R12" s="36" t="s">
        <v>53</v>
      </c>
      <c r="S12" s="175" t="s">
        <v>54</v>
      </c>
      <c r="T12" s="176" t="s">
        <v>54</v>
      </c>
      <c r="U12" s="33" t="s">
        <v>55</v>
      </c>
      <c r="V12" s="35" t="s">
        <v>56</v>
      </c>
      <c r="W12" s="24"/>
      <c r="X12" s="24"/>
      <c r="Y12" s="37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</row>
    <row r="13" spans="1:76" ht="12" thickTop="1">
      <c r="A13" s="38">
        <v>1</v>
      </c>
      <c r="B13" s="39" t="s">
        <v>57</v>
      </c>
      <c r="C13" s="39" t="s">
        <v>58</v>
      </c>
      <c r="D13" s="57" t="s">
        <v>258</v>
      </c>
      <c r="E13" s="88" t="s">
        <v>417</v>
      </c>
      <c r="F13" s="88" t="s">
        <v>429</v>
      </c>
      <c r="G13" s="39" t="s">
        <v>59</v>
      </c>
      <c r="H13" s="68">
        <f>95235</f>
        <v>95235</v>
      </c>
      <c r="I13" s="68">
        <v>0</v>
      </c>
      <c r="J13" s="40">
        <v>0</v>
      </c>
      <c r="K13" s="161"/>
      <c r="L13" s="40">
        <v>0</v>
      </c>
      <c r="M13" s="41">
        <f t="shared" ref="M13:M190" si="0">(+H13+I13+J13+L13)</f>
        <v>95235</v>
      </c>
      <c r="N13" s="41">
        <f>ROUND((M13*0.2943),0)</f>
        <v>28028</v>
      </c>
      <c r="O13" s="42">
        <f>495</f>
        <v>495</v>
      </c>
      <c r="P13" s="41">
        <v>0</v>
      </c>
      <c r="Q13" s="41">
        <f t="shared" ref="Q13:Q190" si="1">ROUND((M13*0.0145),0)</f>
        <v>1381</v>
      </c>
      <c r="R13" s="96">
        <f>187</f>
        <v>187</v>
      </c>
      <c r="S13" s="177">
        <v>0</v>
      </c>
      <c r="T13" s="177">
        <f>394</f>
        <v>394</v>
      </c>
      <c r="U13" s="41">
        <f t="shared" ref="U13:U190" si="2">+N13+O13+P13+Q13+R13+S13+T13</f>
        <v>30485</v>
      </c>
      <c r="V13" s="41">
        <f t="shared" ref="V13:V190" si="3">+M13+U13</f>
        <v>125720</v>
      </c>
      <c r="W13" s="4"/>
      <c r="X13" s="43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</row>
    <row r="14" spans="1:76">
      <c r="A14" s="38">
        <v>2</v>
      </c>
      <c r="B14" s="39" t="s">
        <v>60</v>
      </c>
      <c r="C14" s="39" t="s">
        <v>61</v>
      </c>
      <c r="D14" s="57" t="s">
        <v>62</v>
      </c>
      <c r="E14" s="88" t="s">
        <v>417</v>
      </c>
      <c r="F14" s="88" t="s">
        <v>429</v>
      </c>
      <c r="G14" s="39" t="s">
        <v>63</v>
      </c>
      <c r="H14" s="59">
        <f>84631.65</f>
        <v>84631.65</v>
      </c>
      <c r="I14" s="68">
        <v>0</v>
      </c>
      <c r="J14" s="40">
        <v>0</v>
      </c>
      <c r="K14" s="162"/>
      <c r="L14" s="163">
        <v>0</v>
      </c>
      <c r="M14" s="44">
        <f t="shared" si="0"/>
        <v>84631.65</v>
      </c>
      <c r="N14" s="44">
        <f>ROUND((M14*0.2943),0)</f>
        <v>24907</v>
      </c>
      <c r="O14" s="42">
        <f>495</f>
        <v>495</v>
      </c>
      <c r="P14" s="44">
        <v>0</v>
      </c>
      <c r="Q14" s="44">
        <f t="shared" si="1"/>
        <v>1227</v>
      </c>
      <c r="R14" s="96">
        <f>187</f>
        <v>187</v>
      </c>
      <c r="S14" s="178">
        <v>4801</v>
      </c>
      <c r="T14" s="178">
        <v>0</v>
      </c>
      <c r="U14" s="44">
        <f t="shared" si="2"/>
        <v>31617</v>
      </c>
      <c r="V14" s="44">
        <f t="shared" si="3"/>
        <v>116248.65</v>
      </c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</row>
    <row r="15" spans="1:76">
      <c r="A15" s="110">
        <v>3</v>
      </c>
      <c r="B15" s="58" t="s">
        <v>64</v>
      </c>
      <c r="C15" s="58" t="s">
        <v>65</v>
      </c>
      <c r="D15" s="65" t="s">
        <v>66</v>
      </c>
      <c r="E15" s="109" t="s">
        <v>417</v>
      </c>
      <c r="F15" s="118" t="s">
        <v>430</v>
      </c>
      <c r="G15" s="58" t="s">
        <v>478</v>
      </c>
      <c r="H15" s="59">
        <v>88956</v>
      </c>
      <c r="I15" s="68">
        <v>0</v>
      </c>
      <c r="J15" s="68">
        <v>0</v>
      </c>
      <c r="K15" s="150">
        <v>46448</v>
      </c>
      <c r="L15" s="61">
        <f>1646/4</f>
        <v>411.5</v>
      </c>
      <c r="M15" s="62">
        <f t="shared" si="0"/>
        <v>89367.5</v>
      </c>
      <c r="N15" s="62">
        <f>ROUND((M15*0.2943),0)</f>
        <v>26301</v>
      </c>
      <c r="O15" s="113">
        <f>495</f>
        <v>495</v>
      </c>
      <c r="P15" s="62">
        <v>0</v>
      </c>
      <c r="Q15" s="62">
        <f t="shared" si="1"/>
        <v>1296</v>
      </c>
      <c r="R15" s="119">
        <f>187</f>
        <v>187</v>
      </c>
      <c r="S15" s="179">
        <v>4801</v>
      </c>
      <c r="T15" s="179">
        <v>342</v>
      </c>
      <c r="U15" s="62">
        <f>+N15+O15+P15+Q15+R15+S15+T15</f>
        <v>33422</v>
      </c>
      <c r="V15" s="62">
        <f t="shared" si="3"/>
        <v>122789.5</v>
      </c>
      <c r="W15" s="112"/>
      <c r="X15" s="112"/>
      <c r="Y15" s="112"/>
      <c r="Z15" s="112"/>
      <c r="AA15" s="112"/>
      <c r="AB15" s="112"/>
      <c r="AC15" s="112"/>
      <c r="AD15" s="112"/>
      <c r="AE15" s="112"/>
      <c r="AF15" s="112"/>
      <c r="AG15" s="112"/>
      <c r="AH15" s="112"/>
      <c r="AI15" s="112"/>
      <c r="AJ15" s="112"/>
      <c r="AK15" s="112"/>
      <c r="AL15" s="112"/>
      <c r="AM15" s="112"/>
      <c r="AN15" s="112"/>
      <c r="AO15" s="112"/>
      <c r="AP15" s="112"/>
      <c r="AQ15" s="112"/>
      <c r="AR15" s="112"/>
      <c r="AS15" s="112"/>
      <c r="AT15" s="112"/>
      <c r="AU15" s="112"/>
      <c r="AV15" s="112"/>
      <c r="AW15" s="112"/>
      <c r="AX15" s="112"/>
      <c r="AY15" s="112"/>
      <c r="AZ15" s="112"/>
      <c r="BA15" s="112"/>
      <c r="BB15" s="112"/>
      <c r="BC15" s="112"/>
      <c r="BD15" s="112"/>
      <c r="BE15" s="112"/>
      <c r="BF15" s="112"/>
    </row>
    <row r="16" spans="1:76">
      <c r="A16" s="38">
        <v>4</v>
      </c>
      <c r="B16" s="39" t="s">
        <v>68</v>
      </c>
      <c r="C16" s="45" t="s">
        <v>109</v>
      </c>
      <c r="D16" s="46" t="s">
        <v>92</v>
      </c>
      <c r="E16" s="93"/>
      <c r="F16" s="95"/>
      <c r="G16" s="151" t="s">
        <v>69</v>
      </c>
      <c r="H16" s="59">
        <v>0</v>
      </c>
      <c r="I16" s="68">
        <v>0</v>
      </c>
      <c r="J16" s="40">
        <v>0</v>
      </c>
      <c r="K16" s="162"/>
      <c r="L16" s="163">
        <v>0</v>
      </c>
      <c r="M16" s="44">
        <f t="shared" si="0"/>
        <v>0</v>
      </c>
      <c r="N16" s="44">
        <f t="shared" ref="N16:N190" si="4">ROUND((M16*0.2943),0)</f>
        <v>0</v>
      </c>
      <c r="O16" s="44">
        <v>0</v>
      </c>
      <c r="P16" s="44">
        <v>0</v>
      </c>
      <c r="Q16" s="44">
        <f t="shared" si="1"/>
        <v>0</v>
      </c>
      <c r="R16" s="44">
        <v>0</v>
      </c>
      <c r="S16" s="44">
        <v>0</v>
      </c>
      <c r="T16" s="44">
        <v>0</v>
      </c>
      <c r="U16" s="44">
        <f t="shared" si="2"/>
        <v>0</v>
      </c>
      <c r="V16" s="44">
        <f t="shared" si="3"/>
        <v>0</v>
      </c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</row>
    <row r="17" spans="1:76">
      <c r="A17" s="38">
        <v>5</v>
      </c>
      <c r="B17" s="39" t="s">
        <v>70</v>
      </c>
      <c r="C17" s="51" t="s">
        <v>71</v>
      </c>
      <c r="D17" s="46" t="s">
        <v>252</v>
      </c>
      <c r="E17" s="94" t="s">
        <v>419</v>
      </c>
      <c r="F17" s="97">
        <v>43495</v>
      </c>
      <c r="G17" s="152" t="s">
        <v>72</v>
      </c>
      <c r="H17" s="73">
        <f>75392</f>
        <v>75392</v>
      </c>
      <c r="I17" s="68">
        <v>0</v>
      </c>
      <c r="J17" s="40">
        <v>0</v>
      </c>
      <c r="K17" s="164"/>
      <c r="L17" s="165">
        <v>0</v>
      </c>
      <c r="M17" s="44">
        <f t="shared" si="0"/>
        <v>75392</v>
      </c>
      <c r="N17" s="44">
        <f t="shared" si="4"/>
        <v>22188</v>
      </c>
      <c r="O17" s="42">
        <f>495</f>
        <v>495</v>
      </c>
      <c r="P17" s="44">
        <v>0</v>
      </c>
      <c r="Q17" s="44">
        <f t="shared" si="1"/>
        <v>1093</v>
      </c>
      <c r="R17" s="96">
        <f>187</f>
        <v>187</v>
      </c>
      <c r="S17" s="44">
        <v>13493</v>
      </c>
      <c r="T17" s="44">
        <v>404</v>
      </c>
      <c r="U17" s="44">
        <f t="shared" si="2"/>
        <v>37860</v>
      </c>
      <c r="V17" s="44">
        <f t="shared" si="3"/>
        <v>113252</v>
      </c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</row>
    <row r="18" spans="1:76">
      <c r="A18" s="38">
        <v>6</v>
      </c>
      <c r="B18" s="48" t="s">
        <v>73</v>
      </c>
      <c r="C18" s="51" t="s">
        <v>211</v>
      </c>
      <c r="D18" s="65" t="s">
        <v>315</v>
      </c>
      <c r="E18" s="95" t="s">
        <v>419</v>
      </c>
      <c r="F18" s="97">
        <v>45278</v>
      </c>
      <c r="G18" s="153" t="s">
        <v>147</v>
      </c>
      <c r="H18" s="73">
        <v>41372</v>
      </c>
      <c r="I18" s="68">
        <v>0</v>
      </c>
      <c r="J18" s="40">
        <v>0</v>
      </c>
      <c r="K18" s="164"/>
      <c r="L18" s="165">
        <v>0</v>
      </c>
      <c r="M18" s="44">
        <f t="shared" si="0"/>
        <v>41372</v>
      </c>
      <c r="N18" s="44">
        <f t="shared" si="4"/>
        <v>12176</v>
      </c>
      <c r="O18" s="42">
        <f>495</f>
        <v>495</v>
      </c>
      <c r="P18" s="44">
        <v>0</v>
      </c>
      <c r="Q18" s="44">
        <f t="shared" si="1"/>
        <v>600</v>
      </c>
      <c r="R18" s="96">
        <f>187</f>
        <v>187</v>
      </c>
      <c r="S18" s="44">
        <v>8551</v>
      </c>
      <c r="T18" s="44">
        <v>342</v>
      </c>
      <c r="U18" s="44">
        <f t="shared" si="2"/>
        <v>22351</v>
      </c>
      <c r="V18" s="44">
        <f t="shared" si="3"/>
        <v>63723</v>
      </c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</row>
    <row r="19" spans="1:76">
      <c r="A19" s="38">
        <v>7</v>
      </c>
      <c r="B19" s="49" t="s">
        <v>74</v>
      </c>
      <c r="C19" s="108" t="s">
        <v>75</v>
      </c>
      <c r="D19" s="46" t="s">
        <v>92</v>
      </c>
      <c r="E19" s="94" t="s">
        <v>419</v>
      </c>
      <c r="F19" s="97"/>
      <c r="G19" s="152" t="s">
        <v>76</v>
      </c>
      <c r="H19" s="60">
        <v>0</v>
      </c>
      <c r="I19" s="68">
        <v>0</v>
      </c>
      <c r="J19" s="40">
        <v>0</v>
      </c>
      <c r="K19" s="164"/>
      <c r="L19" s="165">
        <v>0</v>
      </c>
      <c r="M19" s="44">
        <f t="shared" si="0"/>
        <v>0</v>
      </c>
      <c r="N19" s="44">
        <f t="shared" si="4"/>
        <v>0</v>
      </c>
      <c r="O19" s="42">
        <v>0</v>
      </c>
      <c r="P19" s="44">
        <v>0</v>
      </c>
      <c r="Q19" s="44">
        <f t="shared" si="1"/>
        <v>0</v>
      </c>
      <c r="R19" s="96">
        <v>0</v>
      </c>
      <c r="S19" s="44">
        <v>0</v>
      </c>
      <c r="T19" s="44">
        <v>0</v>
      </c>
      <c r="U19" s="44">
        <f t="shared" si="2"/>
        <v>0</v>
      </c>
      <c r="V19" s="44">
        <f t="shared" si="3"/>
        <v>0</v>
      </c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</row>
    <row r="20" spans="1:76">
      <c r="A20" s="110">
        <v>8</v>
      </c>
      <c r="B20" s="70" t="s">
        <v>77</v>
      </c>
      <c r="C20" s="63" t="s">
        <v>330</v>
      </c>
      <c r="D20" s="149" t="s">
        <v>502</v>
      </c>
      <c r="E20" s="94" t="s">
        <v>419</v>
      </c>
      <c r="F20" s="98">
        <v>43976</v>
      </c>
      <c r="G20" s="63" t="s">
        <v>503</v>
      </c>
      <c r="H20" s="64">
        <v>49731</v>
      </c>
      <c r="I20" s="68">
        <v>0</v>
      </c>
      <c r="J20" s="68">
        <v>0</v>
      </c>
      <c r="K20" s="141"/>
      <c r="L20" s="142">
        <v>0</v>
      </c>
      <c r="M20" s="62">
        <f t="shared" si="0"/>
        <v>49731</v>
      </c>
      <c r="N20" s="62">
        <f t="shared" si="4"/>
        <v>14636</v>
      </c>
      <c r="O20" s="113">
        <f>495</f>
        <v>495</v>
      </c>
      <c r="P20" s="62">
        <v>0</v>
      </c>
      <c r="Q20" s="62">
        <f t="shared" si="1"/>
        <v>721</v>
      </c>
      <c r="R20" s="119">
        <f>187</f>
        <v>187</v>
      </c>
      <c r="S20" s="62">
        <v>11192</v>
      </c>
      <c r="T20" s="62">
        <v>0</v>
      </c>
      <c r="U20" s="62">
        <f t="shared" si="2"/>
        <v>27231</v>
      </c>
      <c r="V20" s="62">
        <f t="shared" si="3"/>
        <v>76962</v>
      </c>
      <c r="W20" s="112"/>
      <c r="X20" s="112"/>
      <c r="Y20" s="112"/>
      <c r="Z20" s="112"/>
      <c r="AA20" s="112"/>
      <c r="AB20" s="112"/>
      <c r="AC20" s="112"/>
      <c r="AD20" s="112"/>
      <c r="AE20" s="112"/>
      <c r="AF20" s="112"/>
      <c r="AG20" s="112"/>
      <c r="AH20" s="112"/>
      <c r="AI20" s="112"/>
      <c r="AJ20" s="112"/>
      <c r="AK20" s="112"/>
      <c r="AL20" s="112"/>
      <c r="AM20" s="112"/>
      <c r="AN20" s="112"/>
      <c r="AO20" s="112"/>
      <c r="AP20" s="112"/>
      <c r="AQ20" s="112"/>
      <c r="AR20" s="112"/>
      <c r="AS20" s="112"/>
      <c r="AT20" s="112"/>
      <c r="AU20" s="112"/>
      <c r="AV20" s="112"/>
      <c r="AW20" s="112"/>
      <c r="AX20" s="112"/>
      <c r="AY20" s="112"/>
      <c r="AZ20" s="112"/>
      <c r="BA20" s="112"/>
      <c r="BB20" s="112"/>
      <c r="BC20" s="112"/>
      <c r="BD20" s="112"/>
      <c r="BE20" s="112"/>
      <c r="BF20" s="112"/>
    </row>
    <row r="21" spans="1:76">
      <c r="A21" s="110">
        <v>9</v>
      </c>
      <c r="B21" s="70" t="s">
        <v>79</v>
      </c>
      <c r="C21" s="63" t="s">
        <v>101</v>
      </c>
      <c r="D21" s="46" t="s">
        <v>439</v>
      </c>
      <c r="E21" s="81" t="s">
        <v>418</v>
      </c>
      <c r="F21" s="111"/>
      <c r="G21" s="63" t="s">
        <v>78</v>
      </c>
      <c r="H21" s="64">
        <v>32355</v>
      </c>
      <c r="I21" s="68">
        <v>0</v>
      </c>
      <c r="J21" s="68">
        <v>0</v>
      </c>
      <c r="K21" s="141"/>
      <c r="L21" s="142">
        <v>0</v>
      </c>
      <c r="M21" s="62">
        <f t="shared" si="0"/>
        <v>32355</v>
      </c>
      <c r="N21" s="62">
        <f t="shared" si="4"/>
        <v>9522</v>
      </c>
      <c r="O21" s="62">
        <v>495</v>
      </c>
      <c r="P21" s="62">
        <v>0</v>
      </c>
      <c r="Q21" s="62">
        <f t="shared" si="1"/>
        <v>469</v>
      </c>
      <c r="R21" s="62">
        <v>187</v>
      </c>
      <c r="S21" s="62">
        <v>8310</v>
      </c>
      <c r="T21" s="62">
        <v>486</v>
      </c>
      <c r="U21" s="62">
        <f t="shared" si="2"/>
        <v>19469</v>
      </c>
      <c r="V21" s="62">
        <f t="shared" si="3"/>
        <v>51824</v>
      </c>
      <c r="W21" s="112"/>
      <c r="X21" s="112"/>
      <c r="Y21" s="112"/>
      <c r="Z21" s="112"/>
      <c r="AA21" s="112"/>
      <c r="AB21" s="112"/>
      <c r="AC21" s="112"/>
      <c r="AD21" s="112"/>
      <c r="AE21" s="112"/>
      <c r="AF21" s="112"/>
      <c r="AG21" s="112"/>
      <c r="AH21" s="112"/>
      <c r="AI21" s="112"/>
      <c r="AJ21" s="112"/>
      <c r="AK21" s="112"/>
      <c r="AL21" s="112"/>
      <c r="AM21" s="112"/>
      <c r="AN21" s="112"/>
      <c r="AO21" s="112"/>
      <c r="AP21" s="112"/>
      <c r="AQ21" s="112"/>
      <c r="AR21" s="112"/>
      <c r="AS21" s="112"/>
      <c r="AT21" s="112"/>
      <c r="AU21" s="112"/>
      <c r="AV21" s="112"/>
      <c r="AW21" s="112"/>
      <c r="AX21" s="112"/>
      <c r="AY21" s="112"/>
      <c r="AZ21" s="112"/>
      <c r="BA21" s="112"/>
      <c r="BB21" s="112"/>
      <c r="BC21" s="112"/>
      <c r="BD21" s="112"/>
      <c r="BE21" s="112"/>
      <c r="BF21" s="112"/>
    </row>
    <row r="22" spans="1:76">
      <c r="A22" s="38">
        <v>10</v>
      </c>
      <c r="B22" s="50" t="s">
        <v>80</v>
      </c>
      <c r="C22" s="45" t="s">
        <v>101</v>
      </c>
      <c r="D22" s="46" t="s">
        <v>439</v>
      </c>
      <c r="E22" s="81" t="s">
        <v>418</v>
      </c>
      <c r="F22" s="99"/>
      <c r="G22" s="45" t="s">
        <v>78</v>
      </c>
      <c r="H22" s="64">
        <v>32355</v>
      </c>
      <c r="I22" s="68">
        <v>0</v>
      </c>
      <c r="J22" s="40">
        <v>0</v>
      </c>
      <c r="K22" s="164"/>
      <c r="L22" s="165">
        <v>0</v>
      </c>
      <c r="M22" s="44">
        <f t="shared" si="0"/>
        <v>32355</v>
      </c>
      <c r="N22" s="44">
        <f t="shared" si="4"/>
        <v>9522</v>
      </c>
      <c r="O22" s="44">
        <v>495</v>
      </c>
      <c r="P22" s="44">
        <v>0</v>
      </c>
      <c r="Q22" s="44">
        <f t="shared" si="1"/>
        <v>469</v>
      </c>
      <c r="R22" s="44">
        <v>187</v>
      </c>
      <c r="S22" s="44">
        <v>8310</v>
      </c>
      <c r="T22" s="44">
        <v>486</v>
      </c>
      <c r="U22" s="44">
        <f t="shared" si="2"/>
        <v>19469</v>
      </c>
      <c r="V22" s="44">
        <f t="shared" si="3"/>
        <v>51824</v>
      </c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</row>
    <row r="23" spans="1:76">
      <c r="A23" s="38">
        <v>11</v>
      </c>
      <c r="B23" s="50" t="s">
        <v>81</v>
      </c>
      <c r="C23" s="45" t="s">
        <v>109</v>
      </c>
      <c r="D23" s="46" t="s">
        <v>439</v>
      </c>
      <c r="E23" s="81" t="s">
        <v>418</v>
      </c>
      <c r="F23" s="97"/>
      <c r="G23" s="154" t="s">
        <v>69</v>
      </c>
      <c r="H23" s="64">
        <v>34886</v>
      </c>
      <c r="I23" s="68">
        <v>0</v>
      </c>
      <c r="J23" s="40">
        <v>0</v>
      </c>
      <c r="K23" s="164"/>
      <c r="L23" s="165">
        <v>0</v>
      </c>
      <c r="M23" s="44">
        <f t="shared" si="0"/>
        <v>34886</v>
      </c>
      <c r="N23" s="44">
        <f t="shared" si="4"/>
        <v>10267</v>
      </c>
      <c r="O23" s="44">
        <v>495</v>
      </c>
      <c r="P23" s="44">
        <v>0</v>
      </c>
      <c r="Q23" s="44">
        <f t="shared" si="1"/>
        <v>506</v>
      </c>
      <c r="R23" s="44">
        <v>187</v>
      </c>
      <c r="S23" s="44">
        <v>8310</v>
      </c>
      <c r="T23" s="44">
        <v>486</v>
      </c>
      <c r="U23" s="44">
        <f t="shared" si="2"/>
        <v>20251</v>
      </c>
      <c r="V23" s="44">
        <f t="shared" si="3"/>
        <v>55137</v>
      </c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</row>
    <row r="24" spans="1:76">
      <c r="A24" s="38">
        <v>12</v>
      </c>
      <c r="B24" s="66" t="s">
        <v>444</v>
      </c>
      <c r="C24" s="45" t="s">
        <v>109</v>
      </c>
      <c r="D24" s="46" t="s">
        <v>439</v>
      </c>
      <c r="E24" s="81" t="s">
        <v>418</v>
      </c>
      <c r="F24" s="97"/>
      <c r="G24" s="154" t="s">
        <v>69</v>
      </c>
      <c r="H24" s="64">
        <v>34886</v>
      </c>
      <c r="I24" s="68">
        <v>0</v>
      </c>
      <c r="J24" s="40">
        <v>0</v>
      </c>
      <c r="K24" s="164"/>
      <c r="L24" s="165">
        <v>0</v>
      </c>
      <c r="M24" s="44">
        <f t="shared" ref="M24" si="5">(+H24+I24+J24+L24)</f>
        <v>34886</v>
      </c>
      <c r="N24" s="44">
        <f t="shared" ref="N24" si="6">ROUND((M24*0.2943),0)</f>
        <v>10267</v>
      </c>
      <c r="O24" s="44">
        <v>495</v>
      </c>
      <c r="P24" s="44">
        <v>0</v>
      </c>
      <c r="Q24" s="44">
        <f t="shared" ref="Q24" si="7">ROUND((M24*0.0145),0)</f>
        <v>506</v>
      </c>
      <c r="R24" s="44">
        <v>187</v>
      </c>
      <c r="S24" s="44">
        <v>8310</v>
      </c>
      <c r="T24" s="44">
        <v>486</v>
      </c>
      <c r="U24" s="44">
        <f t="shared" ref="U24" si="8">+N24+O24+P24+Q24+R24+S24+T24</f>
        <v>20251</v>
      </c>
      <c r="V24" s="44">
        <f t="shared" ref="V24" si="9">+M24+U24</f>
        <v>55137</v>
      </c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</row>
    <row r="25" spans="1:76">
      <c r="A25" s="38">
        <v>13</v>
      </c>
      <c r="B25" s="71" t="s">
        <v>259</v>
      </c>
      <c r="C25" s="109" t="s">
        <v>260</v>
      </c>
      <c r="D25" s="103" t="s">
        <v>332</v>
      </c>
      <c r="E25" s="105"/>
      <c r="F25" s="104"/>
      <c r="G25" s="58" t="s">
        <v>261</v>
      </c>
      <c r="H25" s="67">
        <v>0</v>
      </c>
      <c r="I25" s="68">
        <v>0</v>
      </c>
      <c r="J25" s="40">
        <v>0</v>
      </c>
      <c r="K25" s="161"/>
      <c r="L25" s="166">
        <v>0</v>
      </c>
      <c r="M25" s="44">
        <f t="shared" si="0"/>
        <v>0</v>
      </c>
      <c r="N25" s="44">
        <f t="shared" si="4"/>
        <v>0</v>
      </c>
      <c r="O25" s="69">
        <v>0</v>
      </c>
      <c r="P25" s="41">
        <v>0</v>
      </c>
      <c r="Q25" s="44">
        <f t="shared" si="1"/>
        <v>0</v>
      </c>
      <c r="R25" s="69">
        <v>0</v>
      </c>
      <c r="S25" s="180">
        <v>0</v>
      </c>
      <c r="T25" s="180">
        <v>0</v>
      </c>
      <c r="U25" s="44">
        <f t="shared" si="2"/>
        <v>0</v>
      </c>
      <c r="V25" s="44">
        <f t="shared" si="3"/>
        <v>0</v>
      </c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</row>
    <row r="26" spans="1:76" ht="12.95" customHeight="1">
      <c r="A26" s="110">
        <v>14</v>
      </c>
      <c r="B26" s="48" t="s">
        <v>262</v>
      </c>
      <c r="C26" s="120" t="s">
        <v>263</v>
      </c>
      <c r="D26" s="65" t="s">
        <v>264</v>
      </c>
      <c r="E26" s="109" t="s">
        <v>440</v>
      </c>
      <c r="F26" s="101">
        <v>44690</v>
      </c>
      <c r="G26" s="63" t="s">
        <v>147</v>
      </c>
      <c r="H26" s="59">
        <f>41372</f>
        <v>41372</v>
      </c>
      <c r="I26" s="68">
        <v>0</v>
      </c>
      <c r="J26" s="68">
        <v>0</v>
      </c>
      <c r="K26" s="150">
        <v>45965</v>
      </c>
      <c r="L26" s="62">
        <f>1437/4</f>
        <v>359.25</v>
      </c>
      <c r="M26" s="62">
        <f t="shared" si="0"/>
        <v>41731.25</v>
      </c>
      <c r="N26" s="62">
        <f t="shared" si="4"/>
        <v>12282</v>
      </c>
      <c r="O26" s="113">
        <f>495</f>
        <v>495</v>
      </c>
      <c r="P26" s="62">
        <v>0</v>
      </c>
      <c r="Q26" s="62">
        <f t="shared" si="1"/>
        <v>605</v>
      </c>
      <c r="R26" s="119">
        <f>187</f>
        <v>187</v>
      </c>
      <c r="S26" s="59">
        <v>0</v>
      </c>
      <c r="T26" s="59">
        <v>342</v>
      </c>
      <c r="U26" s="62">
        <f t="shared" si="2"/>
        <v>13911</v>
      </c>
      <c r="V26" s="62">
        <f t="shared" si="3"/>
        <v>55642.25</v>
      </c>
      <c r="W26" s="112"/>
      <c r="X26" s="112"/>
      <c r="Y26" s="112"/>
      <c r="Z26" s="112"/>
      <c r="AA26" s="112"/>
      <c r="AB26" s="112"/>
      <c r="AC26" s="112"/>
      <c r="AD26" s="112"/>
      <c r="AE26" s="112"/>
      <c r="AF26" s="112"/>
      <c r="AG26" s="112"/>
      <c r="AH26" s="112"/>
      <c r="AI26" s="112"/>
      <c r="AJ26" s="112"/>
      <c r="AK26" s="112"/>
      <c r="AL26" s="112"/>
      <c r="AM26" s="112"/>
      <c r="AN26" s="112"/>
      <c r="AO26" s="112"/>
      <c r="AP26" s="112"/>
      <c r="AQ26" s="112"/>
      <c r="AR26" s="112"/>
      <c r="AS26" s="112"/>
      <c r="AT26" s="112"/>
      <c r="AU26" s="112"/>
      <c r="AV26" s="112"/>
      <c r="AW26" s="112"/>
      <c r="AX26" s="112"/>
      <c r="AY26" s="112"/>
      <c r="AZ26" s="112"/>
      <c r="BA26" s="112"/>
      <c r="BB26" s="112"/>
      <c r="BC26" s="112"/>
      <c r="BD26" s="112"/>
      <c r="BE26" s="112"/>
      <c r="BF26" s="112"/>
    </row>
    <row r="27" spans="1:76" ht="12.95" customHeight="1">
      <c r="A27" s="38">
        <v>15</v>
      </c>
      <c r="B27" s="48" t="s">
        <v>265</v>
      </c>
      <c r="C27" s="74" t="s">
        <v>266</v>
      </c>
      <c r="D27" s="65" t="s">
        <v>92</v>
      </c>
      <c r="E27" s="89"/>
      <c r="F27" s="101"/>
      <c r="G27" s="63" t="s">
        <v>143</v>
      </c>
      <c r="H27" s="60">
        <v>0</v>
      </c>
      <c r="I27" s="68">
        <v>0</v>
      </c>
      <c r="J27" s="40">
        <v>0</v>
      </c>
      <c r="K27" s="162"/>
      <c r="L27" s="44">
        <v>0</v>
      </c>
      <c r="M27" s="44">
        <f t="shared" si="0"/>
        <v>0</v>
      </c>
      <c r="N27" s="44">
        <f t="shared" si="4"/>
        <v>0</v>
      </c>
      <c r="O27" s="59">
        <v>0</v>
      </c>
      <c r="P27" s="44">
        <v>0</v>
      </c>
      <c r="Q27" s="44">
        <f t="shared" si="1"/>
        <v>0</v>
      </c>
      <c r="R27" s="59">
        <v>0</v>
      </c>
      <c r="S27" s="59">
        <v>0</v>
      </c>
      <c r="T27" s="59">
        <v>0</v>
      </c>
      <c r="U27" s="44">
        <f t="shared" si="2"/>
        <v>0</v>
      </c>
      <c r="V27" s="44">
        <f t="shared" si="3"/>
        <v>0</v>
      </c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</row>
    <row r="28" spans="1:76" ht="12.95" customHeight="1">
      <c r="A28" s="110">
        <v>16</v>
      </c>
      <c r="B28" s="49" t="s">
        <v>267</v>
      </c>
      <c r="C28" s="109" t="s">
        <v>101</v>
      </c>
      <c r="D28" s="78" t="s">
        <v>456</v>
      </c>
      <c r="E28" s="89" t="s">
        <v>440</v>
      </c>
      <c r="F28" s="101">
        <v>44900</v>
      </c>
      <c r="G28" s="63" t="s">
        <v>78</v>
      </c>
      <c r="H28" s="59">
        <f>32355</f>
        <v>32355</v>
      </c>
      <c r="I28" s="68">
        <v>0</v>
      </c>
      <c r="J28" s="68">
        <v>0</v>
      </c>
      <c r="K28" s="150"/>
      <c r="L28" s="62">
        <v>0</v>
      </c>
      <c r="M28" s="62">
        <f t="shared" si="0"/>
        <v>32355</v>
      </c>
      <c r="N28" s="62">
        <f t="shared" si="4"/>
        <v>9522</v>
      </c>
      <c r="O28" s="113">
        <f>495</f>
        <v>495</v>
      </c>
      <c r="P28" s="62">
        <v>0</v>
      </c>
      <c r="Q28" s="62">
        <f t="shared" si="1"/>
        <v>469</v>
      </c>
      <c r="R28" s="114">
        <f>187</f>
        <v>187</v>
      </c>
      <c r="S28" s="59">
        <v>4801</v>
      </c>
      <c r="T28" s="59">
        <v>342</v>
      </c>
      <c r="U28" s="62">
        <f t="shared" si="2"/>
        <v>15816</v>
      </c>
      <c r="V28" s="62">
        <f t="shared" si="3"/>
        <v>48171</v>
      </c>
      <c r="W28" s="112"/>
      <c r="X28" s="112"/>
      <c r="Y28" s="112"/>
      <c r="Z28" s="112"/>
      <c r="AA28" s="112"/>
      <c r="AB28" s="112"/>
      <c r="AC28" s="112"/>
      <c r="AD28" s="112"/>
      <c r="AE28" s="112"/>
      <c r="AF28" s="112"/>
      <c r="AG28" s="112"/>
      <c r="AH28" s="112"/>
      <c r="AI28" s="112"/>
      <c r="AJ28" s="112"/>
      <c r="AK28" s="112"/>
      <c r="AL28" s="112"/>
      <c r="AM28" s="112"/>
      <c r="AN28" s="112"/>
      <c r="AO28" s="112"/>
      <c r="AP28" s="112"/>
      <c r="AQ28" s="112"/>
      <c r="AR28" s="112"/>
      <c r="AS28" s="112"/>
      <c r="AT28" s="112"/>
      <c r="AU28" s="112"/>
      <c r="AV28" s="112"/>
      <c r="AW28" s="112"/>
      <c r="AX28" s="112"/>
      <c r="AY28" s="112"/>
      <c r="AZ28" s="112"/>
      <c r="BA28" s="112"/>
      <c r="BB28" s="112"/>
      <c r="BC28" s="112"/>
      <c r="BD28" s="112"/>
      <c r="BE28" s="112"/>
      <c r="BF28" s="112"/>
    </row>
    <row r="29" spans="1:76" ht="12.95" customHeight="1">
      <c r="A29" s="38">
        <v>17</v>
      </c>
      <c r="B29" s="49" t="s">
        <v>269</v>
      </c>
      <c r="C29" s="109" t="s">
        <v>101</v>
      </c>
      <c r="D29" s="65" t="s">
        <v>92</v>
      </c>
      <c r="E29" s="89"/>
      <c r="F29" s="101"/>
      <c r="G29" s="63" t="s">
        <v>78</v>
      </c>
      <c r="H29" s="60">
        <v>0</v>
      </c>
      <c r="I29" s="68">
        <v>0</v>
      </c>
      <c r="J29" s="40">
        <v>0</v>
      </c>
      <c r="K29" s="162"/>
      <c r="L29" s="44">
        <v>0</v>
      </c>
      <c r="M29" s="44">
        <f t="shared" si="0"/>
        <v>0</v>
      </c>
      <c r="N29" s="44">
        <f t="shared" si="4"/>
        <v>0</v>
      </c>
      <c r="O29" s="59">
        <v>0</v>
      </c>
      <c r="P29" s="44">
        <v>0</v>
      </c>
      <c r="Q29" s="44">
        <f t="shared" si="1"/>
        <v>0</v>
      </c>
      <c r="R29" s="59">
        <v>0</v>
      </c>
      <c r="S29" s="59">
        <v>0</v>
      </c>
      <c r="T29" s="59">
        <v>0</v>
      </c>
      <c r="U29" s="44">
        <f t="shared" si="2"/>
        <v>0</v>
      </c>
      <c r="V29" s="44">
        <f t="shared" si="3"/>
        <v>0</v>
      </c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</row>
    <row r="30" spans="1:76" ht="12.95" customHeight="1">
      <c r="A30" s="38">
        <v>18</v>
      </c>
      <c r="B30" s="49" t="s">
        <v>270</v>
      </c>
      <c r="C30" s="89" t="s">
        <v>271</v>
      </c>
      <c r="D30" s="65" t="s">
        <v>92</v>
      </c>
      <c r="E30" s="89"/>
      <c r="F30" s="101"/>
      <c r="G30" s="63" t="s">
        <v>78</v>
      </c>
      <c r="H30" s="60">
        <v>0</v>
      </c>
      <c r="I30" s="68">
        <v>0</v>
      </c>
      <c r="J30" s="40">
        <v>0</v>
      </c>
      <c r="K30" s="162"/>
      <c r="L30" s="163">
        <v>0</v>
      </c>
      <c r="M30" s="44">
        <f t="shared" si="0"/>
        <v>0</v>
      </c>
      <c r="N30" s="44">
        <f t="shared" si="4"/>
        <v>0</v>
      </c>
      <c r="O30" s="59">
        <v>0</v>
      </c>
      <c r="P30" s="44">
        <v>0</v>
      </c>
      <c r="Q30" s="44">
        <f t="shared" si="1"/>
        <v>0</v>
      </c>
      <c r="R30" s="59">
        <v>0</v>
      </c>
      <c r="S30" s="59">
        <v>0</v>
      </c>
      <c r="T30" s="59">
        <v>0</v>
      </c>
      <c r="U30" s="44">
        <f t="shared" si="2"/>
        <v>0</v>
      </c>
      <c r="V30" s="44">
        <f t="shared" si="3"/>
        <v>0</v>
      </c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</row>
    <row r="31" spans="1:76" ht="12.95" customHeight="1">
      <c r="A31" s="38">
        <v>19</v>
      </c>
      <c r="B31" s="49" t="s">
        <v>272</v>
      </c>
      <c r="C31" s="89" t="s">
        <v>271</v>
      </c>
      <c r="D31" s="65" t="s">
        <v>457</v>
      </c>
      <c r="E31" s="89" t="s">
        <v>440</v>
      </c>
      <c r="F31" s="101"/>
      <c r="G31" s="63" t="s">
        <v>78</v>
      </c>
      <c r="H31" s="106">
        <f>32355</f>
        <v>32355</v>
      </c>
      <c r="I31" s="68">
        <v>0</v>
      </c>
      <c r="J31" s="40">
        <v>0</v>
      </c>
      <c r="K31" s="162"/>
      <c r="L31" s="167">
        <v>0</v>
      </c>
      <c r="M31" s="44">
        <f t="shared" si="0"/>
        <v>32355</v>
      </c>
      <c r="N31" s="44">
        <f t="shared" si="4"/>
        <v>9522</v>
      </c>
      <c r="O31" s="42">
        <f>495</f>
        <v>495</v>
      </c>
      <c r="P31" s="44">
        <v>0</v>
      </c>
      <c r="Q31" s="44">
        <f t="shared" si="1"/>
        <v>469</v>
      </c>
      <c r="R31" s="107">
        <f>187</f>
        <v>187</v>
      </c>
      <c r="S31" s="59">
        <v>8310</v>
      </c>
      <c r="T31" s="59">
        <v>486</v>
      </c>
      <c r="U31" s="44">
        <f t="shared" si="2"/>
        <v>19469</v>
      </c>
      <c r="V31" s="44">
        <f t="shared" si="3"/>
        <v>51824</v>
      </c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  <c r="BX31" s="5"/>
    </row>
    <row r="32" spans="1:76" ht="12.95" customHeight="1">
      <c r="A32" s="38">
        <v>20</v>
      </c>
      <c r="B32" s="49" t="s">
        <v>273</v>
      </c>
      <c r="C32" s="109" t="s">
        <v>101</v>
      </c>
      <c r="D32" s="65" t="s">
        <v>274</v>
      </c>
      <c r="E32" s="89" t="s">
        <v>440</v>
      </c>
      <c r="F32" s="101">
        <v>44956</v>
      </c>
      <c r="G32" s="63" t="s">
        <v>78</v>
      </c>
      <c r="H32" s="61">
        <f>32355</f>
        <v>32355</v>
      </c>
      <c r="I32" s="68">
        <v>0</v>
      </c>
      <c r="J32" s="40">
        <v>0</v>
      </c>
      <c r="K32" s="164"/>
      <c r="L32" s="165">
        <v>0</v>
      </c>
      <c r="M32" s="44">
        <f t="shared" si="0"/>
        <v>32355</v>
      </c>
      <c r="N32" s="44">
        <f t="shared" si="4"/>
        <v>9522</v>
      </c>
      <c r="O32" s="42">
        <f>495</f>
        <v>495</v>
      </c>
      <c r="P32" s="44">
        <v>0</v>
      </c>
      <c r="Q32" s="44">
        <f t="shared" si="1"/>
        <v>469</v>
      </c>
      <c r="R32" s="96">
        <f>187</f>
        <v>187</v>
      </c>
      <c r="S32" s="59">
        <v>0</v>
      </c>
      <c r="T32" s="59">
        <v>0</v>
      </c>
      <c r="U32" s="44">
        <f t="shared" si="2"/>
        <v>10673</v>
      </c>
      <c r="V32" s="44">
        <f t="shared" si="3"/>
        <v>43028</v>
      </c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</row>
    <row r="33" spans="1:76" ht="12.95" customHeight="1">
      <c r="A33" s="38">
        <v>21</v>
      </c>
      <c r="B33" s="49" t="s">
        <v>275</v>
      </c>
      <c r="C33" s="89" t="s">
        <v>266</v>
      </c>
      <c r="D33" s="65" t="s">
        <v>92</v>
      </c>
      <c r="E33" s="77"/>
      <c r="F33" s="101"/>
      <c r="G33" s="63" t="s">
        <v>143</v>
      </c>
      <c r="H33" s="61">
        <v>0</v>
      </c>
      <c r="I33" s="68">
        <v>0</v>
      </c>
      <c r="J33" s="40">
        <v>0</v>
      </c>
      <c r="K33" s="164"/>
      <c r="L33" s="165">
        <v>0</v>
      </c>
      <c r="M33" s="44">
        <f t="shared" si="0"/>
        <v>0</v>
      </c>
      <c r="N33" s="44">
        <f t="shared" si="4"/>
        <v>0</v>
      </c>
      <c r="O33" s="59">
        <v>0</v>
      </c>
      <c r="P33" s="44">
        <v>0</v>
      </c>
      <c r="Q33" s="44">
        <f t="shared" si="1"/>
        <v>0</v>
      </c>
      <c r="R33" s="59">
        <v>0</v>
      </c>
      <c r="S33" s="59">
        <v>0</v>
      </c>
      <c r="T33" s="59">
        <v>0</v>
      </c>
      <c r="U33" s="44">
        <f t="shared" si="2"/>
        <v>0</v>
      </c>
      <c r="V33" s="44">
        <f t="shared" si="3"/>
        <v>0</v>
      </c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</row>
    <row r="34" spans="1:76" ht="12.95" customHeight="1">
      <c r="A34" s="38">
        <v>22</v>
      </c>
      <c r="B34" s="49" t="s">
        <v>276</v>
      </c>
      <c r="C34" s="51" t="s">
        <v>211</v>
      </c>
      <c r="D34" s="77" t="s">
        <v>406</v>
      </c>
      <c r="E34" s="89" t="s">
        <v>440</v>
      </c>
      <c r="F34" s="102">
        <v>44515</v>
      </c>
      <c r="G34" s="63" t="s">
        <v>93</v>
      </c>
      <c r="H34" s="59">
        <v>41372</v>
      </c>
      <c r="I34" s="68">
        <v>0</v>
      </c>
      <c r="J34" s="40">
        <v>0</v>
      </c>
      <c r="K34" s="164"/>
      <c r="L34" s="165">
        <v>0</v>
      </c>
      <c r="M34" s="44">
        <f t="shared" si="0"/>
        <v>41372</v>
      </c>
      <c r="N34" s="44">
        <f t="shared" si="4"/>
        <v>12176</v>
      </c>
      <c r="O34" s="42">
        <f>495</f>
        <v>495</v>
      </c>
      <c r="P34" s="44">
        <v>0</v>
      </c>
      <c r="Q34" s="44">
        <f t="shared" si="1"/>
        <v>600</v>
      </c>
      <c r="R34" s="59">
        <v>0</v>
      </c>
      <c r="S34" s="59">
        <v>4801</v>
      </c>
      <c r="T34" s="59">
        <v>0</v>
      </c>
      <c r="U34" s="44">
        <f t="shared" si="2"/>
        <v>18072</v>
      </c>
      <c r="V34" s="44">
        <f t="shared" si="3"/>
        <v>59444</v>
      </c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</row>
    <row r="35" spans="1:76" ht="12.95" customHeight="1">
      <c r="A35" s="38">
        <v>23</v>
      </c>
      <c r="B35" s="71" t="s">
        <v>279</v>
      </c>
      <c r="C35" s="79" t="s">
        <v>393</v>
      </c>
      <c r="D35" s="57" t="s">
        <v>92</v>
      </c>
      <c r="E35" s="89"/>
      <c r="F35" s="100"/>
      <c r="G35" s="39" t="s">
        <v>157</v>
      </c>
      <c r="H35" s="67">
        <v>0</v>
      </c>
      <c r="I35" s="68">
        <v>0</v>
      </c>
      <c r="J35" s="40">
        <v>0</v>
      </c>
      <c r="K35" s="161"/>
      <c r="L35" s="40">
        <v>0</v>
      </c>
      <c r="M35" s="44">
        <f t="shared" si="0"/>
        <v>0</v>
      </c>
      <c r="N35" s="44">
        <f t="shared" si="4"/>
        <v>0</v>
      </c>
      <c r="O35" s="41">
        <v>0</v>
      </c>
      <c r="P35" s="41">
        <v>0</v>
      </c>
      <c r="Q35" s="44">
        <f t="shared" si="1"/>
        <v>0</v>
      </c>
      <c r="R35" s="41">
        <v>0</v>
      </c>
      <c r="S35" s="181">
        <v>0</v>
      </c>
      <c r="T35" s="181">
        <v>0</v>
      </c>
      <c r="U35" s="44">
        <f t="shared" si="2"/>
        <v>0</v>
      </c>
      <c r="V35" s="44">
        <f t="shared" si="3"/>
        <v>0</v>
      </c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</row>
    <row r="36" spans="1:76" ht="12.95" customHeight="1">
      <c r="A36" s="38">
        <v>24</v>
      </c>
      <c r="B36" s="49" t="s">
        <v>280</v>
      </c>
      <c r="C36" s="39" t="s">
        <v>281</v>
      </c>
      <c r="D36" s="57" t="s">
        <v>92</v>
      </c>
      <c r="E36" s="89"/>
      <c r="F36" s="101"/>
      <c r="G36" s="45" t="s">
        <v>282</v>
      </c>
      <c r="H36" s="59">
        <v>0</v>
      </c>
      <c r="I36" s="68">
        <v>0</v>
      </c>
      <c r="J36" s="40">
        <v>0</v>
      </c>
      <c r="K36" s="162"/>
      <c r="L36" s="163">
        <v>0</v>
      </c>
      <c r="M36" s="44">
        <f t="shared" si="0"/>
        <v>0</v>
      </c>
      <c r="N36" s="44">
        <f t="shared" si="4"/>
        <v>0</v>
      </c>
      <c r="O36" s="44">
        <v>0</v>
      </c>
      <c r="P36" s="44">
        <v>0</v>
      </c>
      <c r="Q36" s="44">
        <f t="shared" si="1"/>
        <v>0</v>
      </c>
      <c r="R36" s="44">
        <v>0</v>
      </c>
      <c r="S36" s="44">
        <v>0</v>
      </c>
      <c r="T36" s="44">
        <v>0</v>
      </c>
      <c r="U36" s="44">
        <f t="shared" si="2"/>
        <v>0</v>
      </c>
      <c r="V36" s="44">
        <f t="shared" si="3"/>
        <v>0</v>
      </c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</row>
    <row r="37" spans="1:76" ht="12.95" customHeight="1">
      <c r="A37" s="38">
        <v>25</v>
      </c>
      <c r="B37" s="49" t="s">
        <v>283</v>
      </c>
      <c r="C37" s="39" t="s">
        <v>284</v>
      </c>
      <c r="D37" s="57" t="s">
        <v>92</v>
      </c>
      <c r="E37" s="89"/>
      <c r="F37" s="101"/>
      <c r="G37" s="45" t="s">
        <v>282</v>
      </c>
      <c r="H37" s="59">
        <v>0</v>
      </c>
      <c r="I37" s="68">
        <v>0</v>
      </c>
      <c r="J37" s="40">
        <v>0</v>
      </c>
      <c r="K37" s="162"/>
      <c r="L37" s="163">
        <v>0</v>
      </c>
      <c r="M37" s="44">
        <f t="shared" si="0"/>
        <v>0</v>
      </c>
      <c r="N37" s="44">
        <f t="shared" si="4"/>
        <v>0</v>
      </c>
      <c r="O37" s="44">
        <v>0</v>
      </c>
      <c r="P37" s="44">
        <v>0</v>
      </c>
      <c r="Q37" s="44">
        <f t="shared" si="1"/>
        <v>0</v>
      </c>
      <c r="R37" s="44">
        <v>0</v>
      </c>
      <c r="S37" s="44">
        <v>0</v>
      </c>
      <c r="T37" s="44">
        <v>0</v>
      </c>
      <c r="U37" s="44">
        <f t="shared" si="2"/>
        <v>0</v>
      </c>
      <c r="V37" s="44">
        <f t="shared" si="3"/>
        <v>0</v>
      </c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</row>
    <row r="38" spans="1:76" ht="12.95" customHeight="1">
      <c r="A38" s="38">
        <v>26</v>
      </c>
      <c r="B38" s="48" t="s">
        <v>277</v>
      </c>
      <c r="C38" s="75" t="s">
        <v>278</v>
      </c>
      <c r="D38" s="78" t="s">
        <v>92</v>
      </c>
      <c r="E38" s="89"/>
      <c r="F38" s="101"/>
      <c r="G38" s="75" t="s">
        <v>147</v>
      </c>
      <c r="H38" s="59">
        <v>0</v>
      </c>
      <c r="I38" s="68">
        <v>0</v>
      </c>
      <c r="J38" s="40">
        <v>0</v>
      </c>
      <c r="K38" s="164"/>
      <c r="L38" s="165">
        <v>0</v>
      </c>
      <c r="M38" s="44">
        <f t="shared" si="0"/>
        <v>0</v>
      </c>
      <c r="N38" s="44">
        <f t="shared" si="4"/>
        <v>0</v>
      </c>
      <c r="O38" s="44">
        <v>0</v>
      </c>
      <c r="P38" s="44">
        <v>0</v>
      </c>
      <c r="Q38" s="44">
        <f t="shared" si="1"/>
        <v>0</v>
      </c>
      <c r="R38" s="59">
        <v>0</v>
      </c>
      <c r="S38" s="59">
        <v>0</v>
      </c>
      <c r="T38" s="59">
        <v>0</v>
      </c>
      <c r="U38" s="44">
        <f t="shared" si="2"/>
        <v>0</v>
      </c>
      <c r="V38" s="44">
        <f t="shared" si="3"/>
        <v>0</v>
      </c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  <c r="BX38" s="5"/>
    </row>
    <row r="39" spans="1:76">
      <c r="A39" s="38">
        <v>27</v>
      </c>
      <c r="B39" s="39">
        <v>1100</v>
      </c>
      <c r="C39" s="45" t="s">
        <v>84</v>
      </c>
      <c r="D39" s="76" t="s">
        <v>85</v>
      </c>
      <c r="E39" s="81" t="s">
        <v>417</v>
      </c>
      <c r="F39" s="99">
        <v>39028</v>
      </c>
      <c r="G39" s="45" t="s">
        <v>86</v>
      </c>
      <c r="H39" s="64">
        <f>77783</f>
        <v>77783</v>
      </c>
      <c r="I39" s="68">
        <v>0</v>
      </c>
      <c r="J39" s="40">
        <v>0</v>
      </c>
      <c r="K39" s="164">
        <v>45831</v>
      </c>
      <c r="L39" s="165">
        <f>823/4</f>
        <v>205.75</v>
      </c>
      <c r="M39" s="44">
        <f t="shared" si="0"/>
        <v>77988.75</v>
      </c>
      <c r="N39" s="44">
        <f>ROUND((M39*0.2943),0)</f>
        <v>22952</v>
      </c>
      <c r="O39" s="42">
        <f>495</f>
        <v>495</v>
      </c>
      <c r="P39" s="44">
        <v>0</v>
      </c>
      <c r="Q39" s="44">
        <f t="shared" si="1"/>
        <v>1131</v>
      </c>
      <c r="R39" s="107">
        <f>187</f>
        <v>187</v>
      </c>
      <c r="S39" s="44">
        <v>15868</v>
      </c>
      <c r="T39" s="44">
        <v>486</v>
      </c>
      <c r="U39" s="44">
        <f t="shared" si="2"/>
        <v>41119</v>
      </c>
      <c r="V39" s="44">
        <f t="shared" si="3"/>
        <v>119107.75</v>
      </c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  <c r="BW39" s="5"/>
      <c r="BX39" s="5"/>
    </row>
    <row r="40" spans="1:76">
      <c r="A40" s="38">
        <v>28</v>
      </c>
      <c r="B40" s="50" t="s">
        <v>87</v>
      </c>
      <c r="C40" s="45" t="s">
        <v>88</v>
      </c>
      <c r="D40" s="76" t="s">
        <v>89</v>
      </c>
      <c r="E40" s="81" t="s">
        <v>417</v>
      </c>
      <c r="F40" s="99">
        <v>39335</v>
      </c>
      <c r="G40" s="45" t="s">
        <v>459</v>
      </c>
      <c r="H40" s="64">
        <v>59895</v>
      </c>
      <c r="I40" s="68">
        <v>0</v>
      </c>
      <c r="J40" s="40">
        <v>0</v>
      </c>
      <c r="K40" s="164">
        <v>45899</v>
      </c>
      <c r="L40" s="165">
        <f>378/4</f>
        <v>94.5</v>
      </c>
      <c r="M40" s="44">
        <f t="shared" si="0"/>
        <v>59989.5</v>
      </c>
      <c r="N40" s="44">
        <f>ROUND((M40*0.2943),0)</f>
        <v>17655</v>
      </c>
      <c r="O40" s="42">
        <f>495</f>
        <v>495</v>
      </c>
      <c r="P40" s="44">
        <v>0</v>
      </c>
      <c r="Q40" s="44">
        <f t="shared" si="1"/>
        <v>870</v>
      </c>
      <c r="R40" s="107">
        <f>187</f>
        <v>187</v>
      </c>
      <c r="S40" s="44">
        <v>6921</v>
      </c>
      <c r="T40" s="44">
        <v>404</v>
      </c>
      <c r="U40" s="44">
        <f t="shared" si="2"/>
        <v>26532</v>
      </c>
      <c r="V40" s="44">
        <f t="shared" si="3"/>
        <v>86521.5</v>
      </c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  <c r="BT40" s="5"/>
      <c r="BU40" s="5"/>
      <c r="BV40" s="5"/>
      <c r="BW40" s="5"/>
      <c r="BX40" s="5"/>
    </row>
    <row r="41" spans="1:76">
      <c r="A41" s="38">
        <v>29</v>
      </c>
      <c r="B41" s="50" t="s">
        <v>90</v>
      </c>
      <c r="C41" s="45" t="s">
        <v>91</v>
      </c>
      <c r="D41" s="76" t="s">
        <v>92</v>
      </c>
      <c r="E41" s="81"/>
      <c r="F41" s="99"/>
      <c r="G41" s="45" t="s">
        <v>93</v>
      </c>
      <c r="H41" s="64">
        <v>0</v>
      </c>
      <c r="I41" s="68">
        <v>0</v>
      </c>
      <c r="J41" s="40">
        <v>0</v>
      </c>
      <c r="K41" s="164"/>
      <c r="L41" s="165">
        <v>0</v>
      </c>
      <c r="M41" s="44">
        <f t="shared" si="0"/>
        <v>0</v>
      </c>
      <c r="N41" s="44">
        <f>ROUND((M41*0.2943),0)</f>
        <v>0</v>
      </c>
      <c r="O41" s="44">
        <v>0</v>
      </c>
      <c r="P41" s="44">
        <v>0</v>
      </c>
      <c r="Q41" s="44">
        <f t="shared" si="1"/>
        <v>0</v>
      </c>
      <c r="R41" s="44">
        <v>0</v>
      </c>
      <c r="S41" s="44">
        <v>0</v>
      </c>
      <c r="T41" s="44">
        <v>0</v>
      </c>
      <c r="U41" s="44">
        <f t="shared" si="2"/>
        <v>0</v>
      </c>
      <c r="V41" s="44">
        <f t="shared" si="3"/>
        <v>0</v>
      </c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5"/>
    </row>
    <row r="42" spans="1:76">
      <c r="A42" s="38">
        <v>30</v>
      </c>
      <c r="B42" s="50" t="s">
        <v>94</v>
      </c>
      <c r="C42" s="45" t="s">
        <v>95</v>
      </c>
      <c r="D42" s="76" t="s">
        <v>92</v>
      </c>
      <c r="E42" s="81"/>
      <c r="F42" s="99"/>
      <c r="G42" s="45" t="s">
        <v>78</v>
      </c>
      <c r="H42" s="64">
        <v>0</v>
      </c>
      <c r="I42" s="68">
        <v>0</v>
      </c>
      <c r="J42" s="40">
        <v>0</v>
      </c>
      <c r="K42" s="164"/>
      <c r="L42" s="165">
        <v>0</v>
      </c>
      <c r="M42" s="44">
        <f t="shared" si="0"/>
        <v>0</v>
      </c>
      <c r="N42" s="44">
        <f t="shared" ref="N42:N54" si="10">ROUND((M42*0.2943),0)</f>
        <v>0</v>
      </c>
      <c r="O42" s="44">
        <v>0</v>
      </c>
      <c r="P42" s="44">
        <v>0</v>
      </c>
      <c r="Q42" s="44">
        <f t="shared" si="1"/>
        <v>0</v>
      </c>
      <c r="R42" s="44">
        <v>0</v>
      </c>
      <c r="S42" s="44">
        <v>0</v>
      </c>
      <c r="T42" s="44">
        <v>0</v>
      </c>
      <c r="U42" s="44">
        <f t="shared" si="2"/>
        <v>0</v>
      </c>
      <c r="V42" s="44">
        <f t="shared" si="3"/>
        <v>0</v>
      </c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</row>
    <row r="43" spans="1:76">
      <c r="A43" s="38">
        <v>31</v>
      </c>
      <c r="B43" s="50" t="s">
        <v>96</v>
      </c>
      <c r="C43" s="45" t="s">
        <v>97</v>
      </c>
      <c r="D43" s="77" t="s">
        <v>445</v>
      </c>
      <c r="E43" s="81" t="s">
        <v>417</v>
      </c>
      <c r="F43" s="99">
        <v>45174</v>
      </c>
      <c r="G43" s="45" t="s">
        <v>69</v>
      </c>
      <c r="H43" s="64">
        <f>34886</f>
        <v>34886</v>
      </c>
      <c r="I43" s="68">
        <v>0</v>
      </c>
      <c r="J43" s="40">
        <v>0</v>
      </c>
      <c r="K43" s="164"/>
      <c r="L43" s="165">
        <v>0</v>
      </c>
      <c r="M43" s="44">
        <f t="shared" si="0"/>
        <v>34886</v>
      </c>
      <c r="N43" s="44">
        <f t="shared" si="10"/>
        <v>10267</v>
      </c>
      <c r="O43" s="42">
        <f>495</f>
        <v>495</v>
      </c>
      <c r="P43" s="44">
        <v>0</v>
      </c>
      <c r="Q43" s="44">
        <f t="shared" si="1"/>
        <v>506</v>
      </c>
      <c r="R43" s="96">
        <f>187</f>
        <v>187</v>
      </c>
      <c r="S43" s="44">
        <v>0</v>
      </c>
      <c r="T43" s="44">
        <v>0</v>
      </c>
      <c r="U43" s="44">
        <f t="shared" si="2"/>
        <v>11455</v>
      </c>
      <c r="V43" s="44">
        <f t="shared" si="3"/>
        <v>46341</v>
      </c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</row>
    <row r="44" spans="1:76">
      <c r="A44" s="110">
        <v>32</v>
      </c>
      <c r="B44" s="70" t="s">
        <v>98</v>
      </c>
      <c r="C44" s="63" t="s">
        <v>99</v>
      </c>
      <c r="D44" s="76" t="s">
        <v>92</v>
      </c>
      <c r="E44" s="81" t="s">
        <v>417</v>
      </c>
      <c r="F44" s="99"/>
      <c r="G44" s="63" t="s">
        <v>78</v>
      </c>
      <c r="H44" s="64">
        <v>0</v>
      </c>
      <c r="I44" s="68">
        <v>0</v>
      </c>
      <c r="J44" s="68">
        <v>0</v>
      </c>
      <c r="K44" s="141"/>
      <c r="L44" s="142">
        <v>0</v>
      </c>
      <c r="M44" s="62">
        <f t="shared" si="0"/>
        <v>0</v>
      </c>
      <c r="N44" s="62">
        <f t="shared" si="10"/>
        <v>0</v>
      </c>
      <c r="O44" s="113">
        <v>0</v>
      </c>
      <c r="P44" s="62">
        <v>0</v>
      </c>
      <c r="Q44" s="62">
        <f t="shared" si="1"/>
        <v>0</v>
      </c>
      <c r="R44" s="62">
        <v>0</v>
      </c>
      <c r="S44" s="62">
        <v>0</v>
      </c>
      <c r="T44" s="62">
        <v>0</v>
      </c>
      <c r="U44" s="62">
        <f t="shared" si="2"/>
        <v>0</v>
      </c>
      <c r="V44" s="62">
        <f t="shared" si="3"/>
        <v>0</v>
      </c>
      <c r="W44" s="112"/>
      <c r="X44" s="112"/>
      <c r="Y44" s="112"/>
      <c r="Z44" s="112"/>
      <c r="AA44" s="112"/>
      <c r="AB44" s="112"/>
      <c r="AC44" s="112"/>
      <c r="AD44" s="112"/>
      <c r="AE44" s="112"/>
      <c r="AF44" s="112"/>
      <c r="AG44" s="112"/>
      <c r="AH44" s="112"/>
      <c r="AI44" s="112"/>
      <c r="AJ44" s="112"/>
      <c r="AK44" s="112"/>
      <c r="AL44" s="112"/>
      <c r="AM44" s="112"/>
      <c r="AN44" s="112"/>
      <c r="AO44" s="112"/>
      <c r="AP44" s="112"/>
      <c r="AQ44" s="112"/>
      <c r="AR44" s="112"/>
      <c r="AS44" s="112"/>
      <c r="AT44" s="112"/>
      <c r="AU44" s="112"/>
      <c r="AV44" s="112"/>
      <c r="AW44" s="112"/>
      <c r="AX44" s="112"/>
      <c r="AY44" s="112"/>
      <c r="AZ44" s="112"/>
      <c r="BA44" s="112"/>
      <c r="BB44" s="112"/>
      <c r="BC44" s="112"/>
      <c r="BD44" s="112"/>
      <c r="BE44" s="112"/>
      <c r="BF44" s="112"/>
    </row>
    <row r="45" spans="1:76">
      <c r="A45" s="110">
        <v>33</v>
      </c>
      <c r="B45" s="70" t="s">
        <v>100</v>
      </c>
      <c r="C45" s="63" t="s">
        <v>101</v>
      </c>
      <c r="D45" s="76" t="s">
        <v>409</v>
      </c>
      <c r="E45" s="81" t="s">
        <v>417</v>
      </c>
      <c r="F45" s="99">
        <v>45159</v>
      </c>
      <c r="G45" s="63" t="s">
        <v>78</v>
      </c>
      <c r="H45" s="64">
        <f>32355</f>
        <v>32355</v>
      </c>
      <c r="I45" s="68">
        <v>0</v>
      </c>
      <c r="J45" s="68">
        <v>0</v>
      </c>
      <c r="K45" s="141"/>
      <c r="L45" s="142">
        <v>0</v>
      </c>
      <c r="M45" s="62">
        <f t="shared" si="0"/>
        <v>32355</v>
      </c>
      <c r="N45" s="62">
        <f t="shared" si="10"/>
        <v>9522</v>
      </c>
      <c r="O45" s="113">
        <f>495</f>
        <v>495</v>
      </c>
      <c r="P45" s="62">
        <v>0</v>
      </c>
      <c r="Q45" s="62">
        <f t="shared" si="1"/>
        <v>469</v>
      </c>
      <c r="R45" s="114">
        <f>187</f>
        <v>187</v>
      </c>
      <c r="S45" s="62">
        <v>15868</v>
      </c>
      <c r="T45" s="62">
        <v>486</v>
      </c>
      <c r="U45" s="62">
        <f t="shared" si="2"/>
        <v>27027</v>
      </c>
      <c r="V45" s="62">
        <f t="shared" si="3"/>
        <v>59382</v>
      </c>
      <c r="W45" s="112"/>
      <c r="X45" s="112"/>
      <c r="Y45" s="112"/>
      <c r="Z45" s="112"/>
      <c r="AA45" s="112"/>
      <c r="AB45" s="112"/>
      <c r="AC45" s="112"/>
      <c r="AD45" s="112"/>
      <c r="AE45" s="112"/>
      <c r="AF45" s="112"/>
      <c r="AG45" s="112"/>
      <c r="AH45" s="112"/>
      <c r="AI45" s="112"/>
      <c r="AJ45" s="112"/>
      <c r="AK45" s="112"/>
      <c r="AL45" s="112"/>
      <c r="AM45" s="112"/>
      <c r="AN45" s="112"/>
      <c r="AO45" s="112"/>
      <c r="AP45" s="112"/>
      <c r="AQ45" s="112"/>
      <c r="AR45" s="112"/>
      <c r="AS45" s="112"/>
      <c r="AT45" s="112"/>
      <c r="AU45" s="112"/>
      <c r="AV45" s="112"/>
      <c r="AW45" s="112"/>
      <c r="AX45" s="112"/>
      <c r="AY45" s="112"/>
      <c r="AZ45" s="112"/>
      <c r="BA45" s="112"/>
      <c r="BB45" s="112"/>
      <c r="BC45" s="112"/>
      <c r="BD45" s="112"/>
      <c r="BE45" s="112"/>
      <c r="BF45" s="112"/>
    </row>
    <row r="46" spans="1:76">
      <c r="A46" s="38">
        <v>34</v>
      </c>
      <c r="B46" s="50" t="s">
        <v>102</v>
      </c>
      <c r="C46" s="45" t="s">
        <v>95</v>
      </c>
      <c r="D46" s="76" t="s">
        <v>103</v>
      </c>
      <c r="E46" s="81" t="s">
        <v>417</v>
      </c>
      <c r="F46" s="99">
        <v>40105</v>
      </c>
      <c r="G46" s="45" t="s">
        <v>104</v>
      </c>
      <c r="H46" s="64">
        <f>37545</f>
        <v>37545</v>
      </c>
      <c r="I46" s="68">
        <v>0</v>
      </c>
      <c r="J46" s="40">
        <v>0</v>
      </c>
      <c r="K46" s="164">
        <v>46009</v>
      </c>
      <c r="L46" s="165">
        <v>0</v>
      </c>
      <c r="M46" s="44">
        <f t="shared" si="0"/>
        <v>37545</v>
      </c>
      <c r="N46" s="44">
        <f t="shared" si="10"/>
        <v>11049</v>
      </c>
      <c r="O46" s="42">
        <f>495</f>
        <v>495</v>
      </c>
      <c r="P46" s="44">
        <v>0</v>
      </c>
      <c r="Q46" s="44">
        <f t="shared" si="1"/>
        <v>544</v>
      </c>
      <c r="R46" s="107">
        <f>187</f>
        <v>187</v>
      </c>
      <c r="S46" s="44">
        <v>13493</v>
      </c>
      <c r="T46" s="44">
        <v>404</v>
      </c>
      <c r="U46" s="44">
        <f t="shared" si="2"/>
        <v>26172</v>
      </c>
      <c r="V46" s="44">
        <f t="shared" si="3"/>
        <v>63717</v>
      </c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5"/>
    </row>
    <row r="47" spans="1:76">
      <c r="A47" s="38">
        <v>35</v>
      </c>
      <c r="B47" s="70" t="s">
        <v>105</v>
      </c>
      <c r="C47" s="45" t="s">
        <v>95</v>
      </c>
      <c r="D47" s="76" t="s">
        <v>107</v>
      </c>
      <c r="E47" s="81" t="s">
        <v>417</v>
      </c>
      <c r="F47" s="99">
        <v>44704</v>
      </c>
      <c r="G47" s="45" t="s">
        <v>78</v>
      </c>
      <c r="H47" s="64">
        <f>32355</f>
        <v>32355</v>
      </c>
      <c r="I47" s="68">
        <v>0</v>
      </c>
      <c r="J47" s="40">
        <v>0</v>
      </c>
      <c r="K47" s="164"/>
      <c r="L47" s="165">
        <v>0</v>
      </c>
      <c r="M47" s="44">
        <f t="shared" si="0"/>
        <v>32355</v>
      </c>
      <c r="N47" s="44">
        <f t="shared" si="10"/>
        <v>9522</v>
      </c>
      <c r="O47" s="42">
        <f>495</f>
        <v>495</v>
      </c>
      <c r="P47" s="44">
        <v>0</v>
      </c>
      <c r="Q47" s="44">
        <f t="shared" si="1"/>
        <v>469</v>
      </c>
      <c r="R47" s="96">
        <f>187</f>
        <v>187</v>
      </c>
      <c r="S47" s="44">
        <v>4801</v>
      </c>
      <c r="T47" s="44">
        <v>342</v>
      </c>
      <c r="U47" s="44">
        <f t="shared" si="2"/>
        <v>15816</v>
      </c>
      <c r="V47" s="44">
        <f t="shared" si="3"/>
        <v>48171</v>
      </c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5"/>
      <c r="BW47" s="5"/>
      <c r="BX47" s="5"/>
    </row>
    <row r="48" spans="1:76">
      <c r="A48" s="38">
        <v>36</v>
      </c>
      <c r="B48" s="50" t="s">
        <v>108</v>
      </c>
      <c r="C48" s="45" t="s">
        <v>109</v>
      </c>
      <c r="D48" s="76" t="s">
        <v>110</v>
      </c>
      <c r="E48" s="81" t="s">
        <v>417</v>
      </c>
      <c r="F48" s="99">
        <v>43577</v>
      </c>
      <c r="G48" s="63" t="s">
        <v>477</v>
      </c>
      <c r="H48" s="64">
        <v>36209</v>
      </c>
      <c r="I48" s="68">
        <v>0</v>
      </c>
      <c r="J48" s="40">
        <v>0</v>
      </c>
      <c r="K48" s="164">
        <v>45855</v>
      </c>
      <c r="L48" s="165">
        <f>343/4</f>
        <v>85.75</v>
      </c>
      <c r="M48" s="44">
        <f t="shared" si="0"/>
        <v>36294.75</v>
      </c>
      <c r="N48" s="44">
        <f t="shared" si="10"/>
        <v>10682</v>
      </c>
      <c r="O48" s="42">
        <f>495</f>
        <v>495</v>
      </c>
      <c r="P48" s="44">
        <v>0</v>
      </c>
      <c r="Q48" s="44">
        <f t="shared" si="1"/>
        <v>526</v>
      </c>
      <c r="R48" s="107">
        <f>187</f>
        <v>187</v>
      </c>
      <c r="S48" s="44">
        <v>4801</v>
      </c>
      <c r="T48" s="44">
        <v>0</v>
      </c>
      <c r="U48" s="44">
        <f t="shared" si="2"/>
        <v>16691</v>
      </c>
      <c r="V48" s="44">
        <f t="shared" si="3"/>
        <v>52985.75</v>
      </c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5"/>
      <c r="BS48" s="5"/>
      <c r="BT48" s="5"/>
      <c r="BU48" s="5"/>
      <c r="BV48" s="5"/>
      <c r="BW48" s="5"/>
      <c r="BX48" s="5"/>
    </row>
    <row r="49" spans="1:76">
      <c r="A49" s="38">
        <v>37</v>
      </c>
      <c r="B49" s="50" t="s">
        <v>111</v>
      </c>
      <c r="C49" s="45" t="s">
        <v>106</v>
      </c>
      <c r="D49" s="77" t="s">
        <v>447</v>
      </c>
      <c r="E49" s="81" t="s">
        <v>417</v>
      </c>
      <c r="F49" s="99">
        <v>45194</v>
      </c>
      <c r="G49" s="45" t="s">
        <v>78</v>
      </c>
      <c r="H49" s="64">
        <f>32355</f>
        <v>32355</v>
      </c>
      <c r="I49" s="68">
        <v>0</v>
      </c>
      <c r="J49" s="40">
        <v>0</v>
      </c>
      <c r="K49" s="164"/>
      <c r="L49" s="165">
        <v>0</v>
      </c>
      <c r="M49" s="44">
        <f t="shared" si="0"/>
        <v>32355</v>
      </c>
      <c r="N49" s="44">
        <f t="shared" si="10"/>
        <v>9522</v>
      </c>
      <c r="O49" s="42">
        <f>495</f>
        <v>495</v>
      </c>
      <c r="P49" s="44">
        <v>0</v>
      </c>
      <c r="Q49" s="44">
        <f t="shared" si="1"/>
        <v>469</v>
      </c>
      <c r="R49" s="96">
        <f>187</f>
        <v>187</v>
      </c>
      <c r="S49" s="44">
        <v>0</v>
      </c>
      <c r="T49" s="44">
        <v>0</v>
      </c>
      <c r="U49" s="44">
        <f t="shared" si="2"/>
        <v>10673</v>
      </c>
      <c r="V49" s="44">
        <f t="shared" si="3"/>
        <v>43028</v>
      </c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5"/>
      <c r="BS49" s="5"/>
      <c r="BT49" s="5"/>
      <c r="BU49" s="5"/>
      <c r="BV49" s="5"/>
      <c r="BW49" s="5"/>
      <c r="BX49" s="5"/>
    </row>
    <row r="50" spans="1:76">
      <c r="A50" s="110">
        <v>38</v>
      </c>
      <c r="B50" s="70" t="s">
        <v>112</v>
      </c>
      <c r="C50" s="63" t="s">
        <v>113</v>
      </c>
      <c r="D50" s="76" t="s">
        <v>114</v>
      </c>
      <c r="E50" s="81" t="s">
        <v>417</v>
      </c>
      <c r="F50" s="99">
        <v>40183</v>
      </c>
      <c r="G50" s="63" t="s">
        <v>507</v>
      </c>
      <c r="H50" s="64">
        <v>50446</v>
      </c>
      <c r="I50" s="68">
        <v>0</v>
      </c>
      <c r="J50" s="68">
        <v>0</v>
      </c>
      <c r="K50" s="141">
        <v>46318</v>
      </c>
      <c r="L50" s="142">
        <f>1601/4</f>
        <v>400.25</v>
      </c>
      <c r="M50" s="62">
        <f t="shared" si="0"/>
        <v>50846.25</v>
      </c>
      <c r="N50" s="62">
        <f t="shared" si="10"/>
        <v>14964</v>
      </c>
      <c r="O50" s="113">
        <f>495</f>
        <v>495</v>
      </c>
      <c r="P50" s="62">
        <v>0</v>
      </c>
      <c r="Q50" s="62">
        <f t="shared" si="1"/>
        <v>737</v>
      </c>
      <c r="R50" s="119">
        <f>187</f>
        <v>187</v>
      </c>
      <c r="S50" s="62">
        <v>8310</v>
      </c>
      <c r="T50" s="62">
        <v>486</v>
      </c>
      <c r="U50" s="62">
        <f t="shared" si="2"/>
        <v>25179</v>
      </c>
      <c r="V50" s="62">
        <f t="shared" si="3"/>
        <v>76025.25</v>
      </c>
      <c r="W50" s="112"/>
      <c r="X50" s="112"/>
      <c r="Y50" s="112"/>
      <c r="Z50" s="112"/>
      <c r="AA50" s="112"/>
      <c r="AB50" s="112"/>
      <c r="AC50" s="112"/>
      <c r="AD50" s="112"/>
      <c r="AE50" s="112"/>
      <c r="AF50" s="112"/>
      <c r="AG50" s="112"/>
      <c r="AH50" s="112"/>
      <c r="AI50" s="112"/>
      <c r="AJ50" s="112"/>
      <c r="AK50" s="112"/>
      <c r="AL50" s="112"/>
      <c r="AM50" s="112"/>
      <c r="AN50" s="112"/>
      <c r="AO50" s="112"/>
      <c r="AP50" s="112"/>
      <c r="AQ50" s="112"/>
      <c r="AR50" s="112"/>
      <c r="AS50" s="112"/>
      <c r="AT50" s="112"/>
      <c r="AU50" s="112"/>
      <c r="AV50" s="112"/>
      <c r="AW50" s="112"/>
      <c r="AX50" s="112"/>
      <c r="AY50" s="112"/>
      <c r="AZ50" s="112"/>
      <c r="BA50" s="112"/>
      <c r="BB50" s="112"/>
      <c r="BC50" s="112"/>
      <c r="BD50" s="112"/>
      <c r="BE50" s="112"/>
      <c r="BF50" s="112"/>
    </row>
    <row r="51" spans="1:76">
      <c r="A51" s="110">
        <v>39</v>
      </c>
      <c r="B51" s="70" t="s">
        <v>116</v>
      </c>
      <c r="C51" s="63" t="s">
        <v>448</v>
      </c>
      <c r="D51" s="76" t="s">
        <v>131</v>
      </c>
      <c r="E51" s="81" t="s">
        <v>417</v>
      </c>
      <c r="F51" s="99">
        <v>44004</v>
      </c>
      <c r="G51" s="63" t="s">
        <v>477</v>
      </c>
      <c r="H51" s="64">
        <v>36209</v>
      </c>
      <c r="I51" s="68">
        <v>0</v>
      </c>
      <c r="J51" s="68">
        <v>0</v>
      </c>
      <c r="K51" s="141">
        <v>45855</v>
      </c>
      <c r="L51" s="142">
        <f>343/4</f>
        <v>85.75</v>
      </c>
      <c r="M51" s="62">
        <f t="shared" si="0"/>
        <v>36294.75</v>
      </c>
      <c r="N51" s="62">
        <f t="shared" si="10"/>
        <v>10682</v>
      </c>
      <c r="O51" s="62">
        <v>495</v>
      </c>
      <c r="P51" s="62">
        <v>0</v>
      </c>
      <c r="Q51" s="62">
        <f t="shared" si="1"/>
        <v>526</v>
      </c>
      <c r="R51" s="62">
        <v>187</v>
      </c>
      <c r="S51" s="62">
        <v>8551</v>
      </c>
      <c r="T51" s="62">
        <v>342</v>
      </c>
      <c r="U51" s="62">
        <f t="shared" si="2"/>
        <v>20783</v>
      </c>
      <c r="V51" s="62">
        <f t="shared" si="3"/>
        <v>57077.75</v>
      </c>
      <c r="W51" s="112"/>
      <c r="X51" s="112"/>
      <c r="Y51" s="112"/>
      <c r="Z51" s="112"/>
      <c r="AA51" s="112"/>
      <c r="AB51" s="112"/>
      <c r="AC51" s="112"/>
      <c r="AD51" s="112"/>
      <c r="AE51" s="112"/>
      <c r="AF51" s="112"/>
      <c r="AG51" s="112"/>
      <c r="AH51" s="112"/>
      <c r="AI51" s="112"/>
      <c r="AJ51" s="112"/>
      <c r="AK51" s="112"/>
      <c r="AL51" s="112"/>
      <c r="AM51" s="112"/>
      <c r="AN51" s="112"/>
      <c r="AO51" s="112"/>
      <c r="AP51" s="112"/>
      <c r="AQ51" s="112"/>
      <c r="AR51" s="112"/>
      <c r="AS51" s="112"/>
      <c r="AT51" s="112"/>
      <c r="AU51" s="112"/>
      <c r="AV51" s="112"/>
      <c r="AW51" s="112"/>
      <c r="AX51" s="112"/>
      <c r="AY51" s="112"/>
      <c r="AZ51" s="112"/>
      <c r="BA51" s="112"/>
      <c r="BB51" s="112"/>
      <c r="BC51" s="112"/>
      <c r="BD51" s="112"/>
      <c r="BE51" s="112"/>
      <c r="BF51" s="112"/>
    </row>
    <row r="52" spans="1:76">
      <c r="A52" s="38">
        <v>40</v>
      </c>
      <c r="B52" s="50" t="s">
        <v>117</v>
      </c>
      <c r="C52" s="45" t="s">
        <v>448</v>
      </c>
      <c r="D52" s="76" t="s">
        <v>92</v>
      </c>
      <c r="E52" s="81"/>
      <c r="F52" s="99"/>
      <c r="G52" s="45"/>
      <c r="H52" s="64">
        <v>0</v>
      </c>
      <c r="I52" s="68">
        <v>0</v>
      </c>
      <c r="J52" s="40">
        <v>0</v>
      </c>
      <c r="K52" s="164"/>
      <c r="L52" s="165">
        <v>0</v>
      </c>
      <c r="M52" s="44">
        <f t="shared" si="0"/>
        <v>0</v>
      </c>
      <c r="N52" s="44">
        <f t="shared" si="10"/>
        <v>0</v>
      </c>
      <c r="O52" s="44">
        <v>0</v>
      </c>
      <c r="P52" s="44">
        <v>0</v>
      </c>
      <c r="Q52" s="44">
        <f t="shared" si="1"/>
        <v>0</v>
      </c>
      <c r="R52" s="44">
        <v>0</v>
      </c>
      <c r="S52" s="44">
        <v>0</v>
      </c>
      <c r="T52" s="44">
        <v>0</v>
      </c>
      <c r="U52" s="44">
        <f t="shared" si="2"/>
        <v>0</v>
      </c>
      <c r="V52" s="44">
        <f t="shared" si="3"/>
        <v>0</v>
      </c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5"/>
      <c r="BS52" s="5"/>
      <c r="BT52" s="5"/>
      <c r="BU52" s="5"/>
      <c r="BV52" s="5"/>
      <c r="BW52" s="5"/>
      <c r="BX52" s="5"/>
    </row>
    <row r="53" spans="1:76">
      <c r="A53" s="38">
        <v>41</v>
      </c>
      <c r="B53" s="50" t="s">
        <v>118</v>
      </c>
      <c r="C53" s="45" t="s">
        <v>113</v>
      </c>
      <c r="D53" s="76" t="s">
        <v>92</v>
      </c>
      <c r="E53" s="81"/>
      <c r="F53" s="99"/>
      <c r="G53" s="45"/>
      <c r="H53" s="64">
        <v>0</v>
      </c>
      <c r="I53" s="68">
        <v>0</v>
      </c>
      <c r="J53" s="40">
        <v>0</v>
      </c>
      <c r="K53" s="164"/>
      <c r="L53" s="165">
        <v>0</v>
      </c>
      <c r="M53" s="44">
        <f t="shared" si="0"/>
        <v>0</v>
      </c>
      <c r="N53" s="44">
        <f t="shared" si="10"/>
        <v>0</v>
      </c>
      <c r="O53" s="44">
        <v>0</v>
      </c>
      <c r="P53" s="44">
        <v>0</v>
      </c>
      <c r="Q53" s="44">
        <f t="shared" si="1"/>
        <v>0</v>
      </c>
      <c r="R53" s="44">
        <v>0</v>
      </c>
      <c r="S53" s="44">
        <v>0</v>
      </c>
      <c r="T53" s="44">
        <v>0</v>
      </c>
      <c r="U53" s="44">
        <f t="shared" si="2"/>
        <v>0</v>
      </c>
      <c r="V53" s="44">
        <f t="shared" si="3"/>
        <v>0</v>
      </c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5"/>
      <c r="BS53" s="5"/>
      <c r="BT53" s="5"/>
      <c r="BU53" s="5"/>
      <c r="BV53" s="5"/>
      <c r="BW53" s="5"/>
      <c r="BX53" s="5"/>
    </row>
    <row r="54" spans="1:76">
      <c r="A54" s="110">
        <v>42</v>
      </c>
      <c r="B54" s="70" t="s">
        <v>119</v>
      </c>
      <c r="C54" s="63" t="s">
        <v>101</v>
      </c>
      <c r="D54" s="76" t="s">
        <v>466</v>
      </c>
      <c r="E54" s="81" t="s">
        <v>417</v>
      </c>
      <c r="F54" s="99">
        <v>45747</v>
      </c>
      <c r="G54" s="63" t="s">
        <v>78</v>
      </c>
      <c r="H54" s="64">
        <f>32355</f>
        <v>32355</v>
      </c>
      <c r="I54" s="68">
        <v>0</v>
      </c>
      <c r="J54" s="68">
        <v>0</v>
      </c>
      <c r="K54" s="141"/>
      <c r="L54" s="142">
        <v>0</v>
      </c>
      <c r="M54" s="62">
        <f t="shared" si="0"/>
        <v>32355</v>
      </c>
      <c r="N54" s="62">
        <f t="shared" si="10"/>
        <v>9522</v>
      </c>
      <c r="O54" s="113">
        <f>495</f>
        <v>495</v>
      </c>
      <c r="P54" s="62">
        <v>0</v>
      </c>
      <c r="Q54" s="62">
        <f t="shared" si="1"/>
        <v>469</v>
      </c>
      <c r="R54" s="114">
        <f>187</f>
        <v>187</v>
      </c>
      <c r="S54" s="62">
        <v>0</v>
      </c>
      <c r="T54" s="62">
        <v>0</v>
      </c>
      <c r="U54" s="62">
        <f t="shared" si="2"/>
        <v>10673</v>
      </c>
      <c r="V54" s="62">
        <f t="shared" si="3"/>
        <v>43028</v>
      </c>
      <c r="W54" s="112"/>
      <c r="X54" s="112"/>
      <c r="Y54" s="112"/>
      <c r="Z54" s="112"/>
      <c r="AA54" s="112"/>
      <c r="AB54" s="112"/>
      <c r="AC54" s="112"/>
      <c r="AD54" s="112"/>
      <c r="AE54" s="112"/>
      <c r="AF54" s="112"/>
      <c r="AG54" s="112"/>
      <c r="AH54" s="112"/>
      <c r="AI54" s="112"/>
      <c r="AJ54" s="112"/>
      <c r="AK54" s="112"/>
      <c r="AL54" s="112"/>
      <c r="AM54" s="112"/>
      <c r="AN54" s="112"/>
      <c r="AO54" s="112"/>
      <c r="AP54" s="112"/>
      <c r="AQ54" s="112"/>
      <c r="AR54" s="112"/>
      <c r="AS54" s="112"/>
      <c r="AT54" s="112"/>
      <c r="AU54" s="112"/>
      <c r="AV54" s="112"/>
      <c r="AW54" s="112"/>
      <c r="AX54" s="112"/>
      <c r="AY54" s="112"/>
      <c r="AZ54" s="112"/>
      <c r="BA54" s="112"/>
      <c r="BB54" s="112"/>
      <c r="BC54" s="112"/>
      <c r="BD54" s="112"/>
      <c r="BE54" s="112"/>
      <c r="BF54" s="112"/>
    </row>
    <row r="55" spans="1:76">
      <c r="A55" s="38">
        <v>43</v>
      </c>
      <c r="B55" s="50" t="s">
        <v>348</v>
      </c>
      <c r="C55" s="45" t="s">
        <v>349</v>
      </c>
      <c r="D55" s="76" t="s">
        <v>350</v>
      </c>
      <c r="E55" s="81" t="s">
        <v>420</v>
      </c>
      <c r="F55" s="99">
        <v>34128</v>
      </c>
      <c r="G55" s="45" t="s">
        <v>86</v>
      </c>
      <c r="H55" s="64">
        <v>77783</v>
      </c>
      <c r="I55" s="68">
        <v>0</v>
      </c>
      <c r="J55" s="40">
        <v>0</v>
      </c>
      <c r="K55" s="168">
        <v>46134</v>
      </c>
      <c r="L55" s="165">
        <f>1234/4</f>
        <v>308.5</v>
      </c>
      <c r="M55" s="44">
        <f t="shared" si="0"/>
        <v>78091.5</v>
      </c>
      <c r="N55" s="44">
        <f>ROUND((M55*0.2943),0)</f>
        <v>22982</v>
      </c>
      <c r="O55" s="42">
        <f>495</f>
        <v>495</v>
      </c>
      <c r="P55" s="44">
        <v>0</v>
      </c>
      <c r="Q55" s="44">
        <f t="shared" si="1"/>
        <v>1132</v>
      </c>
      <c r="R55" s="107">
        <f>187</f>
        <v>187</v>
      </c>
      <c r="S55" s="44">
        <v>4801</v>
      </c>
      <c r="T55" s="44">
        <v>342</v>
      </c>
      <c r="U55" s="44">
        <f t="shared" si="2"/>
        <v>29939</v>
      </c>
      <c r="V55" s="44">
        <f t="shared" si="3"/>
        <v>108030.5</v>
      </c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5"/>
      <c r="BS55" s="5"/>
      <c r="BT55" s="5"/>
      <c r="BU55" s="5"/>
      <c r="BV55" s="5"/>
      <c r="BW55" s="5"/>
      <c r="BX55" s="5"/>
    </row>
    <row r="56" spans="1:76">
      <c r="A56" s="38">
        <v>44</v>
      </c>
      <c r="B56" s="50" t="s">
        <v>351</v>
      </c>
      <c r="C56" s="45" t="s">
        <v>297</v>
      </c>
      <c r="D56" s="76" t="s">
        <v>92</v>
      </c>
      <c r="E56" s="81"/>
      <c r="F56" s="99"/>
      <c r="G56" s="45" t="s">
        <v>147</v>
      </c>
      <c r="H56" s="64">
        <v>0</v>
      </c>
      <c r="I56" s="68">
        <v>0</v>
      </c>
      <c r="J56" s="40">
        <v>0</v>
      </c>
      <c r="K56" s="168"/>
      <c r="L56" s="165">
        <v>0</v>
      </c>
      <c r="M56" s="44">
        <f t="shared" si="0"/>
        <v>0</v>
      </c>
      <c r="N56" s="44">
        <f t="shared" ref="N56:N60" si="11">ROUND((M56*0.2943),0)</f>
        <v>0</v>
      </c>
      <c r="O56" s="44">
        <v>0</v>
      </c>
      <c r="P56" s="44">
        <v>0</v>
      </c>
      <c r="Q56" s="44">
        <f t="shared" si="1"/>
        <v>0</v>
      </c>
      <c r="R56" s="44">
        <v>0</v>
      </c>
      <c r="S56" s="182">
        <v>0</v>
      </c>
      <c r="T56" s="182">
        <v>0</v>
      </c>
      <c r="U56" s="44">
        <f t="shared" si="2"/>
        <v>0</v>
      </c>
      <c r="V56" s="44">
        <f t="shared" si="3"/>
        <v>0</v>
      </c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5"/>
      <c r="BH56" s="5"/>
      <c r="BI56" s="5"/>
      <c r="BJ56" s="5"/>
      <c r="BK56" s="5"/>
      <c r="BL56" s="5"/>
      <c r="BM56" s="5"/>
      <c r="BN56" s="5"/>
      <c r="BO56" s="5"/>
      <c r="BP56" s="5"/>
      <c r="BQ56" s="5"/>
      <c r="BR56" s="5"/>
      <c r="BS56" s="5"/>
      <c r="BT56" s="5"/>
      <c r="BU56" s="5"/>
      <c r="BV56" s="5"/>
      <c r="BW56" s="5"/>
      <c r="BX56" s="5"/>
    </row>
    <row r="57" spans="1:76">
      <c r="A57" s="38">
        <v>45</v>
      </c>
      <c r="B57" s="50" t="s">
        <v>352</v>
      </c>
      <c r="C57" s="45" t="s">
        <v>353</v>
      </c>
      <c r="D57" s="76" t="s">
        <v>92</v>
      </c>
      <c r="E57" s="81"/>
      <c r="F57" s="99"/>
      <c r="G57" s="45" t="s">
        <v>124</v>
      </c>
      <c r="H57" s="64">
        <v>0</v>
      </c>
      <c r="I57" s="68">
        <v>0</v>
      </c>
      <c r="J57" s="40">
        <v>0</v>
      </c>
      <c r="K57" s="168"/>
      <c r="L57" s="165">
        <v>0</v>
      </c>
      <c r="M57" s="44">
        <f t="shared" si="0"/>
        <v>0</v>
      </c>
      <c r="N57" s="44">
        <f t="shared" si="11"/>
        <v>0</v>
      </c>
      <c r="O57" s="44">
        <v>0</v>
      </c>
      <c r="P57" s="44">
        <v>0</v>
      </c>
      <c r="Q57" s="44">
        <f t="shared" si="1"/>
        <v>0</v>
      </c>
      <c r="R57" s="44">
        <v>0</v>
      </c>
      <c r="S57" s="182">
        <v>0</v>
      </c>
      <c r="T57" s="182">
        <v>0</v>
      </c>
      <c r="U57" s="44">
        <f t="shared" si="2"/>
        <v>0</v>
      </c>
      <c r="V57" s="44">
        <f t="shared" si="3"/>
        <v>0</v>
      </c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5"/>
      <c r="BH57" s="5"/>
      <c r="BI57" s="5"/>
      <c r="BJ57" s="5"/>
      <c r="BK57" s="5"/>
      <c r="BL57" s="5"/>
      <c r="BM57" s="5"/>
      <c r="BN57" s="5"/>
      <c r="BO57" s="5"/>
      <c r="BP57" s="5"/>
      <c r="BQ57" s="5"/>
      <c r="BR57" s="5"/>
      <c r="BS57" s="5"/>
      <c r="BT57" s="5"/>
      <c r="BU57" s="5"/>
      <c r="BV57" s="5"/>
      <c r="BW57" s="5"/>
      <c r="BX57" s="5"/>
    </row>
    <row r="58" spans="1:76">
      <c r="A58" s="38">
        <v>46</v>
      </c>
      <c r="B58" s="50" t="s">
        <v>354</v>
      </c>
      <c r="C58" s="45" t="s">
        <v>308</v>
      </c>
      <c r="D58" s="76" t="s">
        <v>92</v>
      </c>
      <c r="E58" s="81"/>
      <c r="F58" s="99"/>
      <c r="G58" s="45" t="s">
        <v>124</v>
      </c>
      <c r="H58" s="64">
        <v>0</v>
      </c>
      <c r="I58" s="68">
        <v>0</v>
      </c>
      <c r="J58" s="40">
        <v>0</v>
      </c>
      <c r="K58" s="168"/>
      <c r="L58" s="165">
        <v>0</v>
      </c>
      <c r="M58" s="44">
        <f t="shared" si="0"/>
        <v>0</v>
      </c>
      <c r="N58" s="44">
        <f t="shared" si="11"/>
        <v>0</v>
      </c>
      <c r="O58" s="44">
        <v>0</v>
      </c>
      <c r="P58" s="44">
        <v>0</v>
      </c>
      <c r="Q58" s="44">
        <f t="shared" si="1"/>
        <v>0</v>
      </c>
      <c r="R58" s="44">
        <v>0</v>
      </c>
      <c r="S58" s="182">
        <v>0</v>
      </c>
      <c r="T58" s="182">
        <v>0</v>
      </c>
      <c r="U58" s="44">
        <f t="shared" si="2"/>
        <v>0</v>
      </c>
      <c r="V58" s="44">
        <f t="shared" si="3"/>
        <v>0</v>
      </c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5"/>
      <c r="BH58" s="5"/>
      <c r="BI58" s="5"/>
      <c r="BJ58" s="5"/>
      <c r="BK58" s="5"/>
      <c r="BL58" s="5"/>
      <c r="BM58" s="5"/>
      <c r="BN58" s="5"/>
      <c r="BO58" s="5"/>
      <c r="BP58" s="5"/>
      <c r="BQ58" s="5"/>
      <c r="BR58" s="5"/>
      <c r="BS58" s="5"/>
      <c r="BT58" s="5"/>
      <c r="BU58" s="5"/>
      <c r="BV58" s="5"/>
      <c r="BW58" s="5"/>
      <c r="BX58" s="5"/>
    </row>
    <row r="59" spans="1:76">
      <c r="A59" s="110">
        <v>47</v>
      </c>
      <c r="B59" s="70" t="s">
        <v>355</v>
      </c>
      <c r="C59" s="63" t="s">
        <v>504</v>
      </c>
      <c r="D59" s="76" t="s">
        <v>505</v>
      </c>
      <c r="E59" s="81" t="s">
        <v>420</v>
      </c>
      <c r="F59" s="99">
        <v>45183</v>
      </c>
      <c r="G59" s="63" t="s">
        <v>124</v>
      </c>
      <c r="H59" s="64">
        <v>32355</v>
      </c>
      <c r="I59" s="68">
        <v>0</v>
      </c>
      <c r="J59" s="68">
        <v>0</v>
      </c>
      <c r="K59" s="147"/>
      <c r="L59" s="142">
        <v>0</v>
      </c>
      <c r="M59" s="62">
        <f t="shared" si="0"/>
        <v>32355</v>
      </c>
      <c r="N59" s="62">
        <f t="shared" si="11"/>
        <v>9522</v>
      </c>
      <c r="O59" s="113">
        <f>495</f>
        <v>495</v>
      </c>
      <c r="P59" s="62">
        <v>0</v>
      </c>
      <c r="Q59" s="62">
        <f t="shared" si="1"/>
        <v>469</v>
      </c>
      <c r="R59" s="119">
        <f>187</f>
        <v>187</v>
      </c>
      <c r="S59" s="148">
        <v>4801</v>
      </c>
      <c r="T59" s="148">
        <v>342</v>
      </c>
      <c r="U59" s="62">
        <f t="shared" si="2"/>
        <v>15816</v>
      </c>
      <c r="V59" s="62">
        <f t="shared" si="3"/>
        <v>48171</v>
      </c>
      <c r="W59" s="112"/>
      <c r="X59" s="112"/>
      <c r="Y59" s="112"/>
      <c r="Z59" s="112"/>
      <c r="AA59" s="112"/>
      <c r="AB59" s="112"/>
      <c r="AC59" s="112"/>
      <c r="AD59" s="112"/>
      <c r="AE59" s="112"/>
      <c r="AF59" s="112"/>
      <c r="AG59" s="112"/>
      <c r="AH59" s="112"/>
      <c r="AI59" s="112"/>
      <c r="AJ59" s="112"/>
      <c r="AK59" s="112"/>
      <c r="AL59" s="112"/>
      <c r="AM59" s="112"/>
      <c r="AN59" s="112"/>
      <c r="AO59" s="112"/>
      <c r="AP59" s="112"/>
      <c r="AQ59" s="112"/>
      <c r="AR59" s="112"/>
      <c r="AS59" s="112"/>
      <c r="AT59" s="112"/>
      <c r="AU59" s="112"/>
      <c r="AV59" s="112"/>
      <c r="AW59" s="112"/>
      <c r="AX59" s="112"/>
      <c r="AY59" s="112"/>
      <c r="AZ59" s="112"/>
      <c r="BA59" s="112"/>
      <c r="BB59" s="112"/>
      <c r="BC59" s="112"/>
      <c r="BD59" s="112"/>
      <c r="BE59" s="112"/>
      <c r="BF59" s="112"/>
    </row>
    <row r="60" spans="1:76" ht="21.6" customHeight="1">
      <c r="A60" s="110">
        <v>48</v>
      </c>
      <c r="B60" s="70" t="s">
        <v>356</v>
      </c>
      <c r="C60" s="63" t="s">
        <v>357</v>
      </c>
      <c r="D60" s="76" t="s">
        <v>358</v>
      </c>
      <c r="E60" s="81" t="s">
        <v>428</v>
      </c>
      <c r="F60" s="99">
        <v>44970</v>
      </c>
      <c r="G60" s="63" t="s">
        <v>147</v>
      </c>
      <c r="H60" s="64">
        <f>41372</f>
        <v>41372</v>
      </c>
      <c r="I60" s="68">
        <v>0</v>
      </c>
      <c r="J60" s="68">
        <v>0</v>
      </c>
      <c r="K60" s="147"/>
      <c r="L60" s="142">
        <v>0</v>
      </c>
      <c r="M60" s="62">
        <f t="shared" si="0"/>
        <v>41372</v>
      </c>
      <c r="N60" s="62">
        <f t="shared" si="11"/>
        <v>12176</v>
      </c>
      <c r="O60" s="113">
        <f>495</f>
        <v>495</v>
      </c>
      <c r="P60" s="62">
        <v>0</v>
      </c>
      <c r="Q60" s="62">
        <f t="shared" si="1"/>
        <v>600</v>
      </c>
      <c r="R60" s="114">
        <f>187</f>
        <v>187</v>
      </c>
      <c r="S60" s="148">
        <v>8551</v>
      </c>
      <c r="T60" s="148">
        <v>342</v>
      </c>
      <c r="U60" s="62">
        <f t="shared" si="2"/>
        <v>22351</v>
      </c>
      <c r="V60" s="62">
        <f t="shared" si="3"/>
        <v>63723</v>
      </c>
      <c r="W60" s="112"/>
      <c r="X60" s="112"/>
      <c r="Y60" s="112"/>
      <c r="Z60" s="112"/>
      <c r="AA60" s="112"/>
      <c r="AB60" s="112"/>
      <c r="AC60" s="112"/>
      <c r="AD60" s="112"/>
      <c r="AE60" s="112"/>
      <c r="AF60" s="112"/>
      <c r="AG60" s="112"/>
      <c r="AH60" s="112"/>
      <c r="AI60" s="112"/>
      <c r="AJ60" s="112"/>
      <c r="AK60" s="112"/>
      <c r="AL60" s="112"/>
      <c r="AM60" s="112"/>
      <c r="AN60" s="112"/>
      <c r="AO60" s="112"/>
      <c r="AP60" s="112"/>
      <c r="AQ60" s="112"/>
      <c r="AR60" s="112"/>
      <c r="AS60" s="112"/>
      <c r="AT60" s="112"/>
      <c r="AU60" s="112"/>
      <c r="AV60" s="112"/>
      <c r="AW60" s="112"/>
      <c r="AX60" s="112"/>
      <c r="AY60" s="112"/>
      <c r="AZ60" s="112"/>
      <c r="BA60" s="112"/>
      <c r="BB60" s="112"/>
      <c r="BC60" s="112"/>
      <c r="BD60" s="112"/>
      <c r="BE60" s="112"/>
      <c r="BF60" s="112"/>
    </row>
    <row r="61" spans="1:76">
      <c r="A61" s="110">
        <v>49</v>
      </c>
      <c r="B61" s="49" t="s">
        <v>347</v>
      </c>
      <c r="C61" s="75" t="s">
        <v>250</v>
      </c>
      <c r="D61" s="78" t="s">
        <v>251</v>
      </c>
      <c r="E61" s="81" t="s">
        <v>419</v>
      </c>
      <c r="F61" s="111">
        <v>41736</v>
      </c>
      <c r="G61" s="75" t="s">
        <v>468</v>
      </c>
      <c r="H61" s="60">
        <v>55601</v>
      </c>
      <c r="I61" s="68">
        <v>0</v>
      </c>
      <c r="J61" s="68">
        <v>0</v>
      </c>
      <c r="K61" s="147">
        <v>45771</v>
      </c>
      <c r="L61" s="142">
        <f>1054/4</f>
        <v>263.5</v>
      </c>
      <c r="M61" s="62">
        <f t="shared" si="0"/>
        <v>55864.5</v>
      </c>
      <c r="N61" s="62">
        <f>ROUND((M61*0.2943),0)</f>
        <v>16441</v>
      </c>
      <c r="O61" s="113">
        <f>495</f>
        <v>495</v>
      </c>
      <c r="P61" s="62">
        <v>0</v>
      </c>
      <c r="Q61" s="62">
        <f t="shared" si="1"/>
        <v>810</v>
      </c>
      <c r="R61" s="119">
        <f>187</f>
        <v>187</v>
      </c>
      <c r="S61" s="148">
        <v>21918</v>
      </c>
      <c r="T61" s="148">
        <v>653</v>
      </c>
      <c r="U61" s="62">
        <f t="shared" si="2"/>
        <v>40504</v>
      </c>
      <c r="V61" s="62">
        <f t="shared" si="3"/>
        <v>96368.5</v>
      </c>
      <c r="W61" s="112"/>
      <c r="X61" s="112"/>
      <c r="Y61" s="112"/>
      <c r="Z61" s="112"/>
      <c r="AA61" s="112"/>
      <c r="AB61" s="112"/>
      <c r="AC61" s="112"/>
      <c r="AD61" s="112"/>
      <c r="AE61" s="112"/>
      <c r="AF61" s="112"/>
      <c r="AG61" s="112"/>
      <c r="AH61" s="112"/>
      <c r="AI61" s="112"/>
      <c r="AJ61" s="112"/>
      <c r="AK61" s="112"/>
      <c r="AL61" s="112"/>
      <c r="AM61" s="112"/>
      <c r="AN61" s="112"/>
      <c r="AO61" s="112"/>
      <c r="AP61" s="112"/>
      <c r="AQ61" s="112"/>
      <c r="AR61" s="112"/>
      <c r="AS61" s="112"/>
      <c r="AT61" s="112"/>
      <c r="AU61" s="112"/>
      <c r="AV61" s="112"/>
      <c r="AW61" s="112"/>
      <c r="AX61" s="112"/>
      <c r="AY61" s="112"/>
      <c r="AZ61" s="112"/>
      <c r="BA61" s="112"/>
      <c r="BB61" s="112"/>
      <c r="BC61" s="112"/>
      <c r="BD61" s="112"/>
      <c r="BE61" s="112"/>
      <c r="BF61" s="112"/>
    </row>
    <row r="62" spans="1:76">
      <c r="A62" s="110">
        <v>50</v>
      </c>
      <c r="B62" s="70" t="s">
        <v>341</v>
      </c>
      <c r="C62" s="63" t="s">
        <v>101</v>
      </c>
      <c r="D62" s="76" t="s">
        <v>127</v>
      </c>
      <c r="E62" s="81" t="s">
        <v>419</v>
      </c>
      <c r="F62" s="99"/>
      <c r="G62" s="63" t="s">
        <v>78</v>
      </c>
      <c r="H62" s="64">
        <f>32355</f>
        <v>32355</v>
      </c>
      <c r="I62" s="68">
        <v>0</v>
      </c>
      <c r="J62" s="68">
        <v>0</v>
      </c>
      <c r="K62" s="147"/>
      <c r="L62" s="142">
        <v>0</v>
      </c>
      <c r="M62" s="62">
        <f t="shared" si="0"/>
        <v>32355</v>
      </c>
      <c r="N62" s="62">
        <f t="shared" ref="N62:N65" si="12">ROUND((M62*0.2943),0)</f>
        <v>9522</v>
      </c>
      <c r="O62" s="113">
        <f>495</f>
        <v>495</v>
      </c>
      <c r="P62" s="62">
        <v>0</v>
      </c>
      <c r="Q62" s="62">
        <f t="shared" si="1"/>
        <v>469</v>
      </c>
      <c r="R62" s="119">
        <f>187</f>
        <v>187</v>
      </c>
      <c r="S62" s="148">
        <v>8310</v>
      </c>
      <c r="T62" s="148">
        <v>486</v>
      </c>
      <c r="U62" s="62">
        <f t="shared" si="2"/>
        <v>19469</v>
      </c>
      <c r="V62" s="62">
        <f t="shared" si="3"/>
        <v>51824</v>
      </c>
      <c r="W62" s="112"/>
      <c r="X62" s="112"/>
      <c r="Y62" s="112"/>
      <c r="Z62" s="112"/>
      <c r="AA62" s="112"/>
      <c r="AB62" s="112"/>
      <c r="AC62" s="112"/>
      <c r="AD62" s="112"/>
      <c r="AE62" s="112"/>
      <c r="AF62" s="112"/>
      <c r="AG62" s="112"/>
      <c r="AH62" s="112"/>
      <c r="AI62" s="112"/>
      <c r="AJ62" s="112"/>
      <c r="AK62" s="112"/>
      <c r="AL62" s="112"/>
      <c r="AM62" s="112"/>
      <c r="AN62" s="112"/>
      <c r="AO62" s="112"/>
      <c r="AP62" s="112"/>
      <c r="AQ62" s="112"/>
      <c r="AR62" s="112"/>
      <c r="AS62" s="112"/>
      <c r="AT62" s="112"/>
      <c r="AU62" s="112"/>
      <c r="AV62" s="112"/>
      <c r="AW62" s="112"/>
      <c r="AX62" s="112"/>
      <c r="AY62" s="112"/>
      <c r="AZ62" s="112"/>
      <c r="BA62" s="112"/>
      <c r="BB62" s="112"/>
      <c r="BC62" s="112"/>
      <c r="BD62" s="112"/>
      <c r="BE62" s="112"/>
      <c r="BF62" s="112"/>
    </row>
    <row r="63" spans="1:76">
      <c r="A63" s="38">
        <v>51</v>
      </c>
      <c r="B63" s="50" t="s">
        <v>343</v>
      </c>
      <c r="C63" s="45" t="s">
        <v>101</v>
      </c>
      <c r="D63" s="77" t="s">
        <v>410</v>
      </c>
      <c r="E63" s="81" t="s">
        <v>419</v>
      </c>
      <c r="F63" s="99">
        <v>45159</v>
      </c>
      <c r="G63" s="45" t="s">
        <v>78</v>
      </c>
      <c r="H63" s="64">
        <f>32355</f>
        <v>32355</v>
      </c>
      <c r="I63" s="68">
        <v>0</v>
      </c>
      <c r="J63" s="40">
        <v>0</v>
      </c>
      <c r="K63" s="168"/>
      <c r="L63" s="165">
        <v>0</v>
      </c>
      <c r="M63" s="44">
        <f t="shared" si="0"/>
        <v>32355</v>
      </c>
      <c r="N63" s="44">
        <f t="shared" si="12"/>
        <v>9522</v>
      </c>
      <c r="O63" s="42">
        <f>495</f>
        <v>495</v>
      </c>
      <c r="P63" s="44">
        <v>0</v>
      </c>
      <c r="Q63" s="44">
        <f t="shared" si="1"/>
        <v>469</v>
      </c>
      <c r="R63" s="107">
        <f>187</f>
        <v>187</v>
      </c>
      <c r="S63" s="182">
        <v>0</v>
      </c>
      <c r="T63" s="182">
        <v>0</v>
      </c>
      <c r="U63" s="44">
        <f t="shared" si="2"/>
        <v>10673</v>
      </c>
      <c r="V63" s="44">
        <f t="shared" si="3"/>
        <v>43028</v>
      </c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5"/>
      <c r="BH63" s="5"/>
      <c r="BI63" s="5"/>
      <c r="BJ63" s="5"/>
      <c r="BK63" s="5"/>
      <c r="BL63" s="5"/>
      <c r="BM63" s="5"/>
      <c r="BN63" s="5"/>
      <c r="BO63" s="5"/>
      <c r="BP63" s="5"/>
      <c r="BQ63" s="5"/>
      <c r="BR63" s="5"/>
      <c r="BS63" s="5"/>
      <c r="BT63" s="5"/>
      <c r="BU63" s="5"/>
      <c r="BV63" s="5"/>
      <c r="BW63" s="5"/>
      <c r="BX63" s="5"/>
    </row>
    <row r="64" spans="1:76">
      <c r="A64" s="38">
        <v>52</v>
      </c>
      <c r="B64" s="50" t="s">
        <v>344</v>
      </c>
      <c r="C64" s="45" t="s">
        <v>101</v>
      </c>
      <c r="D64" s="77" t="s">
        <v>412</v>
      </c>
      <c r="E64" s="81" t="s">
        <v>419</v>
      </c>
      <c r="F64" s="102">
        <v>45180</v>
      </c>
      <c r="G64" s="45" t="s">
        <v>78</v>
      </c>
      <c r="H64" s="64">
        <f>32355</f>
        <v>32355</v>
      </c>
      <c r="I64" s="68">
        <v>0</v>
      </c>
      <c r="J64" s="40">
        <v>0</v>
      </c>
      <c r="K64" s="168"/>
      <c r="L64" s="165">
        <v>0</v>
      </c>
      <c r="M64" s="44">
        <f t="shared" si="0"/>
        <v>32355</v>
      </c>
      <c r="N64" s="44">
        <f t="shared" si="12"/>
        <v>9522</v>
      </c>
      <c r="O64" s="42">
        <f>495</f>
        <v>495</v>
      </c>
      <c r="P64" s="44">
        <v>0</v>
      </c>
      <c r="Q64" s="44">
        <f t="shared" si="1"/>
        <v>469</v>
      </c>
      <c r="R64" s="107">
        <f>187</f>
        <v>187</v>
      </c>
      <c r="S64" s="182">
        <v>0</v>
      </c>
      <c r="T64" s="182">
        <v>0</v>
      </c>
      <c r="U64" s="44">
        <f t="shared" si="2"/>
        <v>10673</v>
      </c>
      <c r="V64" s="44">
        <f t="shared" si="3"/>
        <v>43028</v>
      </c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5"/>
      <c r="BH64" s="5"/>
      <c r="BI64" s="5"/>
      <c r="BJ64" s="5"/>
      <c r="BK64" s="5"/>
      <c r="BL64" s="5"/>
      <c r="BM64" s="5"/>
      <c r="BN64" s="5"/>
      <c r="BO64" s="5"/>
      <c r="BP64" s="5"/>
      <c r="BQ64" s="5"/>
      <c r="BR64" s="5"/>
      <c r="BS64" s="5"/>
      <c r="BT64" s="5"/>
      <c r="BU64" s="5"/>
      <c r="BV64" s="5"/>
      <c r="BW64" s="5"/>
      <c r="BX64" s="5"/>
    </row>
    <row r="65" spans="1:76">
      <c r="A65" s="38">
        <v>53</v>
      </c>
      <c r="B65" s="50" t="s">
        <v>345</v>
      </c>
      <c r="C65" s="79" t="s">
        <v>452</v>
      </c>
      <c r="D65" s="76" t="s">
        <v>127</v>
      </c>
      <c r="E65" s="81" t="s">
        <v>419</v>
      </c>
      <c r="F65" s="99"/>
      <c r="G65" s="45" t="s">
        <v>125</v>
      </c>
      <c r="H65" s="64">
        <f>45262</f>
        <v>45262</v>
      </c>
      <c r="I65" s="68">
        <v>0</v>
      </c>
      <c r="J65" s="40">
        <v>0</v>
      </c>
      <c r="K65" s="168"/>
      <c r="L65" s="165">
        <v>0</v>
      </c>
      <c r="M65" s="44">
        <f t="shared" si="0"/>
        <v>45262</v>
      </c>
      <c r="N65" s="44">
        <f t="shared" si="12"/>
        <v>13321</v>
      </c>
      <c r="O65" s="42">
        <f>495</f>
        <v>495</v>
      </c>
      <c r="P65" s="44">
        <v>0</v>
      </c>
      <c r="Q65" s="44">
        <f t="shared" si="1"/>
        <v>656</v>
      </c>
      <c r="R65" s="107">
        <f>187</f>
        <v>187</v>
      </c>
      <c r="S65" s="182">
        <v>8310</v>
      </c>
      <c r="T65" s="182">
        <v>486</v>
      </c>
      <c r="U65" s="44">
        <f t="shared" si="2"/>
        <v>23455</v>
      </c>
      <c r="V65" s="44">
        <f t="shared" si="3"/>
        <v>68717</v>
      </c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5"/>
      <c r="BH65" s="5"/>
      <c r="BI65" s="5"/>
      <c r="BJ65" s="5"/>
      <c r="BK65" s="5"/>
      <c r="BL65" s="5"/>
      <c r="BM65" s="5"/>
      <c r="BN65" s="5"/>
      <c r="BO65" s="5"/>
      <c r="BP65" s="5"/>
      <c r="BQ65" s="5"/>
      <c r="BR65" s="5"/>
      <c r="BS65" s="5"/>
      <c r="BT65" s="5"/>
      <c r="BU65" s="5"/>
      <c r="BV65" s="5"/>
      <c r="BW65" s="5"/>
      <c r="BX65" s="5"/>
    </row>
    <row r="66" spans="1:76">
      <c r="A66" s="38">
        <v>54</v>
      </c>
      <c r="B66" s="50" t="s">
        <v>334</v>
      </c>
      <c r="C66" s="45" t="s">
        <v>335</v>
      </c>
      <c r="D66" s="76" t="s">
        <v>336</v>
      </c>
      <c r="E66" s="81"/>
      <c r="F66" s="99"/>
      <c r="G66" s="45" t="s">
        <v>72</v>
      </c>
      <c r="H66" s="64">
        <v>0</v>
      </c>
      <c r="I66" s="68">
        <v>0</v>
      </c>
      <c r="J66" s="40">
        <v>0</v>
      </c>
      <c r="K66" s="168"/>
      <c r="L66" s="165">
        <v>0</v>
      </c>
      <c r="M66" s="44">
        <f t="shared" si="0"/>
        <v>0</v>
      </c>
      <c r="N66" s="44">
        <f>ROUND((M66*0.2943),0)</f>
        <v>0</v>
      </c>
      <c r="O66" s="44">
        <v>0</v>
      </c>
      <c r="P66" s="44">
        <v>0</v>
      </c>
      <c r="Q66" s="44">
        <f t="shared" si="1"/>
        <v>0</v>
      </c>
      <c r="R66" s="44">
        <v>0</v>
      </c>
      <c r="S66" s="182">
        <v>0</v>
      </c>
      <c r="T66" s="182">
        <v>0</v>
      </c>
      <c r="U66" s="44">
        <f t="shared" si="2"/>
        <v>0</v>
      </c>
      <c r="V66" s="44">
        <f t="shared" si="3"/>
        <v>0</v>
      </c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5"/>
      <c r="BH66" s="5"/>
      <c r="BI66" s="5"/>
      <c r="BJ66" s="5"/>
      <c r="BK66" s="5"/>
      <c r="BL66" s="5"/>
      <c r="BM66" s="5"/>
      <c r="BN66" s="5"/>
      <c r="BO66" s="5"/>
      <c r="BP66" s="5"/>
      <c r="BQ66" s="5"/>
      <c r="BR66" s="5"/>
      <c r="BS66" s="5"/>
      <c r="BT66" s="5"/>
      <c r="BU66" s="5"/>
      <c r="BV66" s="5"/>
      <c r="BW66" s="5"/>
      <c r="BX66" s="5"/>
    </row>
    <row r="67" spans="1:76">
      <c r="A67" s="38">
        <v>55</v>
      </c>
      <c r="B67" s="50" t="s">
        <v>337</v>
      </c>
      <c r="C67" s="45" t="s">
        <v>266</v>
      </c>
      <c r="D67" s="76" t="s">
        <v>92</v>
      </c>
      <c r="E67" s="81"/>
      <c r="F67" s="99"/>
      <c r="G67" s="45" t="s">
        <v>302</v>
      </c>
      <c r="H67" s="64">
        <v>0</v>
      </c>
      <c r="I67" s="68">
        <v>0</v>
      </c>
      <c r="J67" s="40">
        <v>0</v>
      </c>
      <c r="K67" s="168"/>
      <c r="L67" s="165">
        <v>0</v>
      </c>
      <c r="M67" s="44">
        <f t="shared" si="0"/>
        <v>0</v>
      </c>
      <c r="N67" s="44">
        <f t="shared" ref="N67:N69" si="13">ROUND((M67*0.2943),0)</f>
        <v>0</v>
      </c>
      <c r="O67" s="44">
        <v>0</v>
      </c>
      <c r="P67" s="44">
        <v>0</v>
      </c>
      <c r="Q67" s="44">
        <f t="shared" si="1"/>
        <v>0</v>
      </c>
      <c r="R67" s="44">
        <v>0</v>
      </c>
      <c r="S67" s="182">
        <v>0</v>
      </c>
      <c r="T67" s="182">
        <v>0</v>
      </c>
      <c r="U67" s="44">
        <f t="shared" si="2"/>
        <v>0</v>
      </c>
      <c r="V67" s="44">
        <f t="shared" si="3"/>
        <v>0</v>
      </c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5"/>
      <c r="BH67" s="5"/>
      <c r="BI67" s="5"/>
      <c r="BJ67" s="5"/>
      <c r="BK67" s="5"/>
      <c r="BL67" s="5"/>
      <c r="BM67" s="5"/>
      <c r="BN67" s="5"/>
      <c r="BO67" s="5"/>
      <c r="BP67" s="5"/>
      <c r="BQ67" s="5"/>
      <c r="BR67" s="5"/>
      <c r="BS67" s="5"/>
      <c r="BT67" s="5"/>
      <c r="BU67" s="5"/>
      <c r="BV67" s="5"/>
      <c r="BW67" s="5"/>
      <c r="BX67" s="5"/>
    </row>
    <row r="68" spans="1:76">
      <c r="A68" s="38">
        <v>56</v>
      </c>
      <c r="B68" s="50" t="s">
        <v>338</v>
      </c>
      <c r="C68" s="45" t="s">
        <v>101</v>
      </c>
      <c r="D68" s="76" t="s">
        <v>339</v>
      </c>
      <c r="E68" s="81"/>
      <c r="F68" s="99"/>
      <c r="G68" s="45" t="s">
        <v>124</v>
      </c>
      <c r="H68" s="64">
        <v>0</v>
      </c>
      <c r="I68" s="68">
        <v>0</v>
      </c>
      <c r="J68" s="40">
        <v>0</v>
      </c>
      <c r="K68" s="168"/>
      <c r="L68" s="165">
        <v>0</v>
      </c>
      <c r="M68" s="44">
        <f t="shared" si="0"/>
        <v>0</v>
      </c>
      <c r="N68" s="44">
        <f t="shared" si="13"/>
        <v>0</v>
      </c>
      <c r="O68" s="44">
        <v>0</v>
      </c>
      <c r="P68" s="44">
        <v>0</v>
      </c>
      <c r="Q68" s="44">
        <f t="shared" si="1"/>
        <v>0</v>
      </c>
      <c r="R68" s="44">
        <v>0</v>
      </c>
      <c r="S68" s="182">
        <v>0</v>
      </c>
      <c r="T68" s="182">
        <v>0</v>
      </c>
      <c r="U68" s="44">
        <f t="shared" si="2"/>
        <v>0</v>
      </c>
      <c r="V68" s="44">
        <f t="shared" si="3"/>
        <v>0</v>
      </c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5"/>
      <c r="BH68" s="5"/>
      <c r="BI68" s="5"/>
      <c r="BJ68" s="5"/>
      <c r="BK68" s="5"/>
      <c r="BL68" s="5"/>
      <c r="BM68" s="5"/>
      <c r="BN68" s="5"/>
      <c r="BO68" s="5"/>
      <c r="BP68" s="5"/>
      <c r="BQ68" s="5"/>
      <c r="BR68" s="5"/>
      <c r="BS68" s="5"/>
      <c r="BT68" s="5"/>
      <c r="BU68" s="5"/>
      <c r="BV68" s="5"/>
      <c r="BW68" s="5"/>
      <c r="BX68" s="5"/>
    </row>
    <row r="69" spans="1:76">
      <c r="A69" s="38">
        <v>57</v>
      </c>
      <c r="B69" s="50" t="s">
        <v>340</v>
      </c>
      <c r="C69" s="45" t="s">
        <v>101</v>
      </c>
      <c r="D69" s="76" t="s">
        <v>92</v>
      </c>
      <c r="E69" s="81"/>
      <c r="F69" s="99"/>
      <c r="G69" s="45" t="s">
        <v>124</v>
      </c>
      <c r="H69" s="64">
        <v>0</v>
      </c>
      <c r="I69" s="68">
        <v>0</v>
      </c>
      <c r="J69" s="40">
        <v>0</v>
      </c>
      <c r="K69" s="168"/>
      <c r="L69" s="165">
        <v>0</v>
      </c>
      <c r="M69" s="44">
        <f t="shared" si="0"/>
        <v>0</v>
      </c>
      <c r="N69" s="44">
        <f t="shared" si="13"/>
        <v>0</v>
      </c>
      <c r="O69" s="44">
        <v>0</v>
      </c>
      <c r="P69" s="44">
        <v>0</v>
      </c>
      <c r="Q69" s="44">
        <f t="shared" si="1"/>
        <v>0</v>
      </c>
      <c r="R69" s="44">
        <v>0</v>
      </c>
      <c r="S69" s="182">
        <v>0</v>
      </c>
      <c r="T69" s="182">
        <v>0</v>
      </c>
      <c r="U69" s="44">
        <f t="shared" si="2"/>
        <v>0</v>
      </c>
      <c r="V69" s="44">
        <f t="shared" si="3"/>
        <v>0</v>
      </c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5"/>
      <c r="BH69" s="5"/>
      <c r="BI69" s="5"/>
      <c r="BJ69" s="5"/>
      <c r="BK69" s="5"/>
      <c r="BL69" s="5"/>
      <c r="BM69" s="5"/>
      <c r="BN69" s="5"/>
      <c r="BO69" s="5"/>
      <c r="BP69" s="5"/>
      <c r="BQ69" s="5"/>
      <c r="BR69" s="5"/>
      <c r="BS69" s="5"/>
      <c r="BT69" s="5"/>
      <c r="BU69" s="5"/>
      <c r="BV69" s="5"/>
      <c r="BW69" s="5"/>
      <c r="BX69" s="5"/>
    </row>
    <row r="70" spans="1:76">
      <c r="A70" s="110">
        <v>58</v>
      </c>
      <c r="B70" s="70" t="s">
        <v>296</v>
      </c>
      <c r="C70" s="63" t="s">
        <v>297</v>
      </c>
      <c r="D70" s="78" t="s">
        <v>298</v>
      </c>
      <c r="E70" s="81" t="s">
        <v>419</v>
      </c>
      <c r="F70" s="99">
        <v>38937</v>
      </c>
      <c r="G70" s="63" t="s">
        <v>458</v>
      </c>
      <c r="H70" s="59">
        <v>62374</v>
      </c>
      <c r="I70" s="68">
        <v>0</v>
      </c>
      <c r="J70" s="68">
        <v>0</v>
      </c>
      <c r="K70" s="169">
        <v>46150</v>
      </c>
      <c r="L70" s="68">
        <f>825/4</f>
        <v>206.25</v>
      </c>
      <c r="M70" s="69">
        <f t="shared" si="0"/>
        <v>62580.25</v>
      </c>
      <c r="N70" s="69">
        <f>ROUND((M70*0.2943),0)</f>
        <v>18417</v>
      </c>
      <c r="O70" s="113">
        <f>495</f>
        <v>495</v>
      </c>
      <c r="P70" s="69">
        <v>0</v>
      </c>
      <c r="Q70" s="69">
        <f t="shared" si="1"/>
        <v>907</v>
      </c>
      <c r="R70" s="119">
        <f>187</f>
        <v>187</v>
      </c>
      <c r="S70" s="183">
        <v>15868</v>
      </c>
      <c r="T70" s="183">
        <v>486</v>
      </c>
      <c r="U70" s="69">
        <f t="shared" si="2"/>
        <v>36360</v>
      </c>
      <c r="V70" s="69">
        <f t="shared" si="3"/>
        <v>98940.25</v>
      </c>
      <c r="W70" s="112"/>
      <c r="X70" s="112"/>
      <c r="Y70" s="112"/>
      <c r="Z70" s="112"/>
      <c r="AA70" s="112"/>
      <c r="AB70" s="112"/>
      <c r="AC70" s="112"/>
      <c r="AD70" s="112"/>
      <c r="AE70" s="112"/>
      <c r="AF70" s="112"/>
      <c r="AG70" s="112"/>
      <c r="AH70" s="112"/>
      <c r="AI70" s="112"/>
      <c r="AJ70" s="112"/>
      <c r="AK70" s="112"/>
      <c r="AL70" s="112"/>
      <c r="AM70" s="112"/>
      <c r="AN70" s="112"/>
      <c r="AO70" s="112"/>
      <c r="AP70" s="112"/>
      <c r="AQ70" s="112"/>
      <c r="AR70" s="112"/>
      <c r="AS70" s="112"/>
      <c r="AT70" s="112"/>
      <c r="AU70" s="112"/>
      <c r="AV70" s="112"/>
      <c r="AW70" s="112"/>
      <c r="AX70" s="112"/>
      <c r="AY70" s="112"/>
      <c r="AZ70" s="112"/>
      <c r="BA70" s="112"/>
      <c r="BB70" s="112"/>
      <c r="BC70" s="112"/>
      <c r="BD70" s="112"/>
      <c r="BE70" s="112"/>
      <c r="BF70" s="112"/>
    </row>
    <row r="71" spans="1:76">
      <c r="A71" s="38">
        <v>59</v>
      </c>
      <c r="B71" s="70" t="s">
        <v>299</v>
      </c>
      <c r="C71" s="63" t="s">
        <v>297</v>
      </c>
      <c r="D71" s="78" t="s">
        <v>321</v>
      </c>
      <c r="E71" s="81" t="s">
        <v>419</v>
      </c>
      <c r="F71" s="99">
        <v>40945</v>
      </c>
      <c r="G71" s="63" t="s">
        <v>480</v>
      </c>
      <c r="H71" s="60">
        <v>49827</v>
      </c>
      <c r="I71" s="68">
        <v>0</v>
      </c>
      <c r="J71" s="40">
        <v>0</v>
      </c>
      <c r="K71" s="162">
        <v>45913</v>
      </c>
      <c r="L71" s="163">
        <f>157/4</f>
        <v>39.25</v>
      </c>
      <c r="M71" s="44">
        <f t="shared" si="0"/>
        <v>49866.25</v>
      </c>
      <c r="N71" s="44">
        <f t="shared" ref="N71:N72" si="14">ROUND((M71*0.2943),0)</f>
        <v>14676</v>
      </c>
      <c r="O71" s="42">
        <f>495</f>
        <v>495</v>
      </c>
      <c r="P71" s="44">
        <v>0</v>
      </c>
      <c r="Q71" s="44">
        <f t="shared" si="1"/>
        <v>723</v>
      </c>
      <c r="R71" s="107">
        <f>187</f>
        <v>187</v>
      </c>
      <c r="S71" s="44">
        <v>21918</v>
      </c>
      <c r="T71" s="62">
        <v>653</v>
      </c>
      <c r="U71" s="44">
        <f t="shared" si="2"/>
        <v>38652</v>
      </c>
      <c r="V71" s="44">
        <f t="shared" si="3"/>
        <v>88518.25</v>
      </c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5"/>
      <c r="BH71" s="5"/>
      <c r="BI71" s="5"/>
      <c r="BJ71" s="5"/>
      <c r="BK71" s="5"/>
      <c r="BL71" s="5"/>
      <c r="BM71" s="5"/>
      <c r="BN71" s="5"/>
      <c r="BO71" s="5"/>
      <c r="BP71" s="5"/>
      <c r="BQ71" s="5"/>
      <c r="BR71" s="5"/>
      <c r="BS71" s="5"/>
      <c r="BT71" s="5"/>
      <c r="BU71" s="5"/>
      <c r="BV71" s="5"/>
      <c r="BW71" s="5"/>
      <c r="BX71" s="5"/>
    </row>
    <row r="72" spans="1:76">
      <c r="A72" s="110">
        <v>60</v>
      </c>
      <c r="B72" s="70" t="s">
        <v>300</v>
      </c>
      <c r="C72" s="63" t="s">
        <v>301</v>
      </c>
      <c r="D72" s="78" t="s">
        <v>323</v>
      </c>
      <c r="E72" s="81" t="s">
        <v>419</v>
      </c>
      <c r="F72" s="99">
        <v>41029</v>
      </c>
      <c r="G72" s="63" t="s">
        <v>501</v>
      </c>
      <c r="H72" s="60">
        <v>40841</v>
      </c>
      <c r="I72" s="68">
        <v>0</v>
      </c>
      <c r="J72" s="68">
        <v>0</v>
      </c>
      <c r="K72" s="150">
        <v>46150</v>
      </c>
      <c r="L72" s="61">
        <f>645/4</f>
        <v>161.25</v>
      </c>
      <c r="M72" s="62">
        <f t="shared" si="0"/>
        <v>41002.25</v>
      </c>
      <c r="N72" s="62">
        <f t="shared" si="14"/>
        <v>12067</v>
      </c>
      <c r="O72" s="113">
        <f>495</f>
        <v>495</v>
      </c>
      <c r="P72" s="62">
        <v>0</v>
      </c>
      <c r="Q72" s="62">
        <f t="shared" si="1"/>
        <v>595</v>
      </c>
      <c r="R72" s="119">
        <f>187</f>
        <v>187</v>
      </c>
      <c r="S72" s="62">
        <v>8551</v>
      </c>
      <c r="T72" s="62">
        <v>653</v>
      </c>
      <c r="U72" s="62">
        <f t="shared" si="2"/>
        <v>22548</v>
      </c>
      <c r="V72" s="62">
        <f t="shared" si="3"/>
        <v>63550.25</v>
      </c>
      <c r="W72" s="112"/>
      <c r="X72" s="112"/>
      <c r="Y72" s="112"/>
      <c r="Z72" s="112"/>
      <c r="AA72" s="112"/>
      <c r="AB72" s="112"/>
      <c r="AC72" s="112"/>
      <c r="AD72" s="112"/>
      <c r="AE72" s="112"/>
      <c r="AF72" s="112"/>
      <c r="AG72" s="112"/>
      <c r="AH72" s="112"/>
      <c r="AI72" s="112"/>
      <c r="AJ72" s="112"/>
      <c r="AK72" s="112"/>
      <c r="AL72" s="112"/>
      <c r="AM72" s="112"/>
      <c r="AN72" s="112"/>
      <c r="AO72" s="112"/>
      <c r="AP72" s="112"/>
      <c r="AQ72" s="112"/>
      <c r="AR72" s="112"/>
      <c r="AS72" s="112"/>
      <c r="AT72" s="112"/>
      <c r="AU72" s="112"/>
      <c r="AV72" s="112"/>
      <c r="AW72" s="112"/>
      <c r="AX72" s="112"/>
      <c r="AY72" s="112"/>
      <c r="AZ72" s="112"/>
      <c r="BA72" s="112"/>
      <c r="BB72" s="112"/>
      <c r="BC72" s="112"/>
      <c r="BD72" s="112"/>
      <c r="BE72" s="112"/>
      <c r="BF72" s="112"/>
    </row>
    <row r="73" spans="1:76">
      <c r="A73" s="38">
        <v>61</v>
      </c>
      <c r="B73" s="71" t="s">
        <v>303</v>
      </c>
      <c r="C73" s="58" t="s">
        <v>304</v>
      </c>
      <c r="D73" s="65" t="s">
        <v>431</v>
      </c>
      <c r="E73" s="81" t="s">
        <v>419</v>
      </c>
      <c r="F73" s="99">
        <v>43111</v>
      </c>
      <c r="G73" s="63" t="s">
        <v>481</v>
      </c>
      <c r="H73" s="59">
        <v>55601</v>
      </c>
      <c r="I73" s="68">
        <v>0</v>
      </c>
      <c r="J73" s="40">
        <v>0</v>
      </c>
      <c r="K73" s="162">
        <v>46067</v>
      </c>
      <c r="L73" s="163">
        <f>1405/4</f>
        <v>351.25</v>
      </c>
      <c r="M73" s="44">
        <f t="shared" si="0"/>
        <v>55952.25</v>
      </c>
      <c r="N73" s="44">
        <f t="shared" ref="N73:N82" si="15">ROUND((M73*0.2943),0)</f>
        <v>16467</v>
      </c>
      <c r="O73" s="42">
        <f>495</f>
        <v>495</v>
      </c>
      <c r="P73" s="44">
        <v>0</v>
      </c>
      <c r="Q73" s="44">
        <f t="shared" si="1"/>
        <v>811</v>
      </c>
      <c r="R73" s="107">
        <f>187</f>
        <v>187</v>
      </c>
      <c r="S73" s="62">
        <v>13493</v>
      </c>
      <c r="T73" s="62">
        <v>342</v>
      </c>
      <c r="U73" s="44">
        <f t="shared" si="2"/>
        <v>31795</v>
      </c>
      <c r="V73" s="44">
        <f t="shared" si="3"/>
        <v>87747.25</v>
      </c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5"/>
      <c r="BH73" s="5"/>
      <c r="BI73" s="5"/>
      <c r="BJ73" s="5"/>
      <c r="BK73" s="5"/>
      <c r="BL73" s="5"/>
      <c r="BM73" s="5"/>
      <c r="BN73" s="5"/>
      <c r="BO73" s="5"/>
      <c r="BP73" s="5"/>
      <c r="BQ73" s="5"/>
      <c r="BR73" s="5"/>
      <c r="BS73" s="5"/>
      <c r="BT73" s="5"/>
      <c r="BU73" s="5"/>
      <c r="BV73" s="5"/>
      <c r="BW73" s="5"/>
      <c r="BX73" s="5"/>
    </row>
    <row r="74" spans="1:76">
      <c r="A74" s="38">
        <v>62</v>
      </c>
      <c r="B74" s="49" t="s">
        <v>305</v>
      </c>
      <c r="C74" s="63" t="s">
        <v>301</v>
      </c>
      <c r="D74" s="78" t="s">
        <v>306</v>
      </c>
      <c r="E74" s="81" t="s">
        <v>419</v>
      </c>
      <c r="F74" s="99">
        <v>39512</v>
      </c>
      <c r="G74" s="63" t="s">
        <v>479</v>
      </c>
      <c r="H74" s="60">
        <v>48894</v>
      </c>
      <c r="I74" s="68">
        <v>0</v>
      </c>
      <c r="J74" s="40">
        <v>0</v>
      </c>
      <c r="K74" s="164">
        <v>45913</v>
      </c>
      <c r="L74" s="165">
        <f>129/4</f>
        <v>32.25</v>
      </c>
      <c r="M74" s="44">
        <f t="shared" si="0"/>
        <v>48926.25</v>
      </c>
      <c r="N74" s="44">
        <f t="shared" si="15"/>
        <v>14399</v>
      </c>
      <c r="O74" s="42">
        <f>495</f>
        <v>495</v>
      </c>
      <c r="P74" s="44">
        <v>0</v>
      </c>
      <c r="Q74" s="44">
        <f t="shared" si="1"/>
        <v>709</v>
      </c>
      <c r="R74" s="107">
        <f>187</f>
        <v>187</v>
      </c>
      <c r="S74" s="62">
        <v>13493</v>
      </c>
      <c r="T74" s="62">
        <v>404</v>
      </c>
      <c r="U74" s="44">
        <f t="shared" si="2"/>
        <v>29687</v>
      </c>
      <c r="V74" s="44">
        <f t="shared" si="3"/>
        <v>78613.25</v>
      </c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5"/>
      <c r="BH74" s="5"/>
      <c r="BI74" s="5"/>
      <c r="BJ74" s="5"/>
      <c r="BK74" s="5"/>
      <c r="BL74" s="5"/>
      <c r="BM74" s="5"/>
      <c r="BN74" s="5"/>
      <c r="BO74" s="5"/>
      <c r="BP74" s="5"/>
      <c r="BQ74" s="5"/>
      <c r="BR74" s="5"/>
      <c r="BS74" s="5"/>
      <c r="BT74" s="5"/>
      <c r="BU74" s="5"/>
      <c r="BV74" s="5"/>
      <c r="BW74" s="5"/>
      <c r="BX74" s="5"/>
    </row>
    <row r="75" spans="1:76">
      <c r="A75" s="110">
        <v>63</v>
      </c>
      <c r="B75" s="131" t="s">
        <v>307</v>
      </c>
      <c r="C75" s="58" t="s">
        <v>308</v>
      </c>
      <c r="D75" s="78" t="s">
        <v>408</v>
      </c>
      <c r="E75" s="81" t="s">
        <v>419</v>
      </c>
      <c r="F75" s="99">
        <v>45154</v>
      </c>
      <c r="G75" s="63" t="s">
        <v>124</v>
      </c>
      <c r="H75" s="59">
        <v>32355</v>
      </c>
      <c r="I75" s="68">
        <v>0</v>
      </c>
      <c r="J75" s="68">
        <v>0</v>
      </c>
      <c r="K75" s="141"/>
      <c r="L75" s="142">
        <v>0</v>
      </c>
      <c r="M75" s="62">
        <f t="shared" si="0"/>
        <v>32355</v>
      </c>
      <c r="N75" s="62">
        <f t="shared" si="15"/>
        <v>9522</v>
      </c>
      <c r="O75" s="113">
        <f>495</f>
        <v>495</v>
      </c>
      <c r="P75" s="62">
        <v>0</v>
      </c>
      <c r="Q75" s="62">
        <f t="shared" si="1"/>
        <v>469</v>
      </c>
      <c r="R75" s="119">
        <f>187</f>
        <v>187</v>
      </c>
      <c r="S75" s="62">
        <v>9596</v>
      </c>
      <c r="T75" s="62">
        <v>329</v>
      </c>
      <c r="U75" s="62">
        <f t="shared" si="2"/>
        <v>20598</v>
      </c>
      <c r="V75" s="62">
        <f t="shared" si="3"/>
        <v>52953</v>
      </c>
      <c r="W75" s="112"/>
      <c r="X75" s="112"/>
      <c r="Y75" s="112"/>
      <c r="Z75" s="112"/>
      <c r="AA75" s="112"/>
      <c r="AB75" s="112"/>
      <c r="AC75" s="112"/>
      <c r="AD75" s="112"/>
      <c r="AE75" s="112"/>
      <c r="AF75" s="112"/>
      <c r="AG75" s="112"/>
      <c r="AH75" s="112"/>
      <c r="AI75" s="112"/>
      <c r="AJ75" s="112"/>
      <c r="AK75" s="112"/>
      <c r="AL75" s="112"/>
      <c r="AM75" s="112"/>
      <c r="AN75" s="112"/>
      <c r="AO75" s="112"/>
      <c r="AP75" s="112"/>
      <c r="AQ75" s="112"/>
      <c r="AR75" s="112"/>
      <c r="AS75" s="112"/>
      <c r="AT75" s="112"/>
      <c r="AU75" s="112"/>
      <c r="AV75" s="112"/>
      <c r="AW75" s="112"/>
      <c r="AX75" s="112"/>
      <c r="AY75" s="112"/>
      <c r="AZ75" s="112"/>
      <c r="BA75" s="112"/>
      <c r="BB75" s="112"/>
      <c r="BC75" s="112"/>
      <c r="BD75" s="112"/>
      <c r="BE75" s="112"/>
      <c r="BF75" s="112"/>
    </row>
    <row r="76" spans="1:76">
      <c r="A76" s="38">
        <v>64</v>
      </c>
      <c r="B76" s="70" t="s">
        <v>310</v>
      </c>
      <c r="C76" s="63" t="s">
        <v>311</v>
      </c>
      <c r="D76" s="65" t="s">
        <v>320</v>
      </c>
      <c r="E76" s="81" t="s">
        <v>419</v>
      </c>
      <c r="F76" s="99">
        <v>36956</v>
      </c>
      <c r="G76" s="63" t="s">
        <v>482</v>
      </c>
      <c r="H76" s="59">
        <v>66142</v>
      </c>
      <c r="I76" s="68">
        <v>0</v>
      </c>
      <c r="J76" s="40">
        <v>0</v>
      </c>
      <c r="K76" s="164">
        <v>45843</v>
      </c>
      <c r="L76" s="165">
        <f>627/4</f>
        <v>156.75</v>
      </c>
      <c r="M76" s="44">
        <f t="shared" si="0"/>
        <v>66298.75</v>
      </c>
      <c r="N76" s="44">
        <f t="shared" si="15"/>
        <v>19512</v>
      </c>
      <c r="O76" s="42">
        <f>495</f>
        <v>495</v>
      </c>
      <c r="P76" s="44">
        <v>0</v>
      </c>
      <c r="Q76" s="44">
        <f t="shared" si="1"/>
        <v>961</v>
      </c>
      <c r="R76" s="107">
        <f>187</f>
        <v>187</v>
      </c>
      <c r="S76" s="62">
        <v>8310</v>
      </c>
      <c r="T76" s="62">
        <v>0</v>
      </c>
      <c r="U76" s="44">
        <f t="shared" si="2"/>
        <v>29465</v>
      </c>
      <c r="V76" s="44">
        <f t="shared" si="3"/>
        <v>95763.75</v>
      </c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5"/>
      <c r="BH76" s="5"/>
      <c r="BI76" s="5"/>
      <c r="BJ76" s="5"/>
      <c r="BK76" s="5"/>
      <c r="BL76" s="5"/>
      <c r="BM76" s="5"/>
      <c r="BN76" s="5"/>
      <c r="BO76" s="5"/>
      <c r="BP76" s="5"/>
      <c r="BQ76" s="5"/>
      <c r="BR76" s="5"/>
      <c r="BS76" s="5"/>
      <c r="BT76" s="5"/>
      <c r="BU76" s="5"/>
      <c r="BV76" s="5"/>
      <c r="BW76" s="5"/>
      <c r="BX76" s="5"/>
    </row>
    <row r="77" spans="1:76">
      <c r="A77" s="38">
        <v>65</v>
      </c>
      <c r="B77" s="70" t="s">
        <v>312</v>
      </c>
      <c r="C77" s="63" t="s">
        <v>483</v>
      </c>
      <c r="D77" s="65" t="s">
        <v>313</v>
      </c>
      <c r="E77" s="81" t="s">
        <v>419</v>
      </c>
      <c r="F77" s="99">
        <v>45134</v>
      </c>
      <c r="G77" s="63" t="s">
        <v>124</v>
      </c>
      <c r="H77" s="60">
        <f>32355</f>
        <v>32355</v>
      </c>
      <c r="I77" s="68">
        <v>0</v>
      </c>
      <c r="J77" s="40">
        <v>0</v>
      </c>
      <c r="K77" s="164"/>
      <c r="L77" s="165">
        <v>0</v>
      </c>
      <c r="M77" s="44">
        <f t="shared" si="0"/>
        <v>32355</v>
      </c>
      <c r="N77" s="44">
        <f t="shared" si="15"/>
        <v>9522</v>
      </c>
      <c r="O77" s="42">
        <f>495</f>
        <v>495</v>
      </c>
      <c r="P77" s="44">
        <v>0</v>
      </c>
      <c r="Q77" s="44">
        <f t="shared" si="1"/>
        <v>469</v>
      </c>
      <c r="R77" s="107">
        <f>187</f>
        <v>187</v>
      </c>
      <c r="S77" s="62">
        <v>4801</v>
      </c>
      <c r="T77" s="62">
        <v>342</v>
      </c>
      <c r="U77" s="44">
        <f t="shared" si="2"/>
        <v>15816</v>
      </c>
      <c r="V77" s="44">
        <f t="shared" si="3"/>
        <v>48171</v>
      </c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5"/>
      <c r="BH77" s="5"/>
      <c r="BI77" s="5"/>
      <c r="BJ77" s="5"/>
      <c r="BK77" s="5"/>
      <c r="BL77" s="5"/>
      <c r="BM77" s="5"/>
      <c r="BN77" s="5"/>
      <c r="BO77" s="5"/>
      <c r="BP77" s="5"/>
      <c r="BQ77" s="5"/>
      <c r="BR77" s="5"/>
      <c r="BS77" s="5"/>
      <c r="BT77" s="5"/>
      <c r="BU77" s="5"/>
      <c r="BV77" s="5"/>
      <c r="BW77" s="5"/>
      <c r="BX77" s="5"/>
    </row>
    <row r="78" spans="1:76">
      <c r="A78" s="110">
        <v>66</v>
      </c>
      <c r="B78" s="70" t="s">
        <v>314</v>
      </c>
      <c r="C78" s="63" t="s">
        <v>342</v>
      </c>
      <c r="D78" s="78" t="s">
        <v>435</v>
      </c>
      <c r="E78" s="81" t="s">
        <v>419</v>
      </c>
      <c r="F78" s="99">
        <v>45159</v>
      </c>
      <c r="G78" s="63" t="s">
        <v>124</v>
      </c>
      <c r="H78" s="60">
        <f>32355</f>
        <v>32355</v>
      </c>
      <c r="I78" s="68">
        <v>0</v>
      </c>
      <c r="J78" s="68">
        <v>0</v>
      </c>
      <c r="K78" s="141"/>
      <c r="L78" s="142">
        <v>0</v>
      </c>
      <c r="M78" s="62">
        <f t="shared" si="0"/>
        <v>32355</v>
      </c>
      <c r="N78" s="62">
        <f t="shared" si="15"/>
        <v>9522</v>
      </c>
      <c r="O78" s="113">
        <f>495</f>
        <v>495</v>
      </c>
      <c r="P78" s="62">
        <v>0</v>
      </c>
      <c r="Q78" s="62">
        <f t="shared" si="1"/>
        <v>469</v>
      </c>
      <c r="R78" s="119">
        <f>187</f>
        <v>187</v>
      </c>
      <c r="S78" s="62">
        <v>4801</v>
      </c>
      <c r="T78" s="62">
        <v>342</v>
      </c>
      <c r="U78" s="62">
        <f t="shared" si="2"/>
        <v>15816</v>
      </c>
      <c r="V78" s="62">
        <f t="shared" si="3"/>
        <v>48171</v>
      </c>
      <c r="W78" s="112"/>
      <c r="X78" s="112"/>
      <c r="Y78" s="112"/>
      <c r="Z78" s="112"/>
      <c r="AA78" s="112"/>
      <c r="AB78" s="112"/>
      <c r="AC78" s="112"/>
      <c r="AD78" s="112"/>
      <c r="AE78" s="112"/>
      <c r="AF78" s="112"/>
      <c r="AG78" s="112"/>
      <c r="AH78" s="112"/>
      <c r="AI78" s="112"/>
      <c r="AJ78" s="112"/>
      <c r="AK78" s="112"/>
      <c r="AL78" s="112"/>
      <c r="AM78" s="112"/>
      <c r="AN78" s="112"/>
      <c r="AO78" s="112"/>
      <c r="AP78" s="112"/>
      <c r="AQ78" s="112"/>
      <c r="AR78" s="112"/>
      <c r="AS78" s="112"/>
      <c r="AT78" s="112"/>
      <c r="AU78" s="112"/>
      <c r="AV78" s="112"/>
      <c r="AW78" s="112"/>
      <c r="AX78" s="112"/>
      <c r="AY78" s="112"/>
      <c r="AZ78" s="112"/>
      <c r="BA78" s="112"/>
      <c r="BB78" s="112"/>
      <c r="BC78" s="112"/>
      <c r="BD78" s="112"/>
      <c r="BE78" s="112"/>
      <c r="BF78" s="112"/>
    </row>
    <row r="79" spans="1:76">
      <c r="A79" s="38">
        <v>67</v>
      </c>
      <c r="B79" s="70" t="s">
        <v>316</v>
      </c>
      <c r="C79" s="63" t="s">
        <v>301</v>
      </c>
      <c r="D79" s="65" t="s">
        <v>92</v>
      </c>
      <c r="E79" s="81"/>
      <c r="F79" s="99"/>
      <c r="G79" s="63" t="s">
        <v>302</v>
      </c>
      <c r="H79" s="60">
        <v>0</v>
      </c>
      <c r="I79" s="68">
        <v>0</v>
      </c>
      <c r="J79" s="40">
        <v>0</v>
      </c>
      <c r="K79" s="164"/>
      <c r="L79" s="165">
        <v>0</v>
      </c>
      <c r="M79" s="44">
        <f t="shared" si="0"/>
        <v>0</v>
      </c>
      <c r="N79" s="44">
        <f t="shared" si="15"/>
        <v>0</v>
      </c>
      <c r="O79" s="44">
        <v>0</v>
      </c>
      <c r="P79" s="44">
        <v>0</v>
      </c>
      <c r="Q79" s="44">
        <f t="shared" si="1"/>
        <v>0</v>
      </c>
      <c r="R79" s="44">
        <v>0</v>
      </c>
      <c r="S79" s="44">
        <v>0</v>
      </c>
      <c r="T79" s="44">
        <v>0</v>
      </c>
      <c r="U79" s="44">
        <f t="shared" si="2"/>
        <v>0</v>
      </c>
      <c r="V79" s="44">
        <f t="shared" si="3"/>
        <v>0</v>
      </c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5"/>
      <c r="BH79" s="5"/>
      <c r="BI79" s="5"/>
      <c r="BJ79" s="5"/>
      <c r="BK79" s="5"/>
      <c r="BL79" s="5"/>
      <c r="BM79" s="5"/>
      <c r="BN79" s="5"/>
      <c r="BO79" s="5"/>
      <c r="BP79" s="5"/>
      <c r="BQ79" s="5"/>
      <c r="BR79" s="5"/>
      <c r="BS79" s="5"/>
      <c r="BT79" s="5"/>
      <c r="BU79" s="5"/>
      <c r="BV79" s="5"/>
      <c r="BW79" s="5"/>
      <c r="BX79" s="5"/>
    </row>
    <row r="80" spans="1:76">
      <c r="A80" s="38">
        <v>68</v>
      </c>
      <c r="B80" s="70" t="s">
        <v>317</v>
      </c>
      <c r="C80" s="58" t="s">
        <v>308</v>
      </c>
      <c r="D80" s="65" t="s">
        <v>309</v>
      </c>
      <c r="E80" s="125" t="s">
        <v>419</v>
      </c>
      <c r="F80" s="99">
        <v>44101</v>
      </c>
      <c r="G80" s="63" t="s">
        <v>302</v>
      </c>
      <c r="H80" s="60">
        <f>37913</f>
        <v>37913</v>
      </c>
      <c r="I80" s="68">
        <v>0</v>
      </c>
      <c r="J80" s="40">
        <v>0</v>
      </c>
      <c r="K80" s="164">
        <v>45951</v>
      </c>
      <c r="L80" s="165">
        <f>1436/4</f>
        <v>359</v>
      </c>
      <c r="M80" s="44">
        <f t="shared" si="0"/>
        <v>38272</v>
      </c>
      <c r="N80" s="44">
        <f t="shared" si="15"/>
        <v>11263</v>
      </c>
      <c r="O80" s="44">
        <v>495</v>
      </c>
      <c r="P80" s="44">
        <v>0</v>
      </c>
      <c r="Q80" s="44">
        <f t="shared" si="1"/>
        <v>555</v>
      </c>
      <c r="R80" s="107">
        <f>187</f>
        <v>187</v>
      </c>
      <c r="S80" s="44">
        <v>8551</v>
      </c>
      <c r="T80" s="44">
        <v>342</v>
      </c>
      <c r="U80" s="44">
        <f t="shared" si="2"/>
        <v>21393</v>
      </c>
      <c r="V80" s="44">
        <f t="shared" si="3"/>
        <v>59665</v>
      </c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5"/>
      <c r="BH80" s="5"/>
      <c r="BI80" s="5"/>
      <c r="BJ80" s="5"/>
      <c r="BK80" s="5"/>
      <c r="BL80" s="5"/>
      <c r="BM80" s="5"/>
      <c r="BN80" s="5"/>
      <c r="BO80" s="5"/>
      <c r="BP80" s="5"/>
      <c r="BQ80" s="5"/>
      <c r="BR80" s="5"/>
      <c r="BS80" s="5"/>
      <c r="BT80" s="5"/>
      <c r="BU80" s="5"/>
      <c r="BV80" s="5"/>
      <c r="BW80" s="5"/>
      <c r="BX80" s="5"/>
    </row>
    <row r="81" spans="1:76">
      <c r="A81" s="38">
        <v>69</v>
      </c>
      <c r="B81" s="70" t="s">
        <v>318</v>
      </c>
      <c r="C81" s="58" t="s">
        <v>301</v>
      </c>
      <c r="D81" s="126" t="s">
        <v>255</v>
      </c>
      <c r="E81" s="125"/>
      <c r="F81" s="99"/>
      <c r="G81" s="58" t="s">
        <v>302</v>
      </c>
      <c r="H81" s="60">
        <v>0</v>
      </c>
      <c r="I81" s="68">
        <v>0</v>
      </c>
      <c r="J81" s="40">
        <v>0</v>
      </c>
      <c r="K81" s="164"/>
      <c r="L81" s="165">
        <v>0</v>
      </c>
      <c r="M81" s="44">
        <f t="shared" si="0"/>
        <v>0</v>
      </c>
      <c r="N81" s="44">
        <f t="shared" si="15"/>
        <v>0</v>
      </c>
      <c r="O81" s="44">
        <v>0</v>
      </c>
      <c r="P81" s="44">
        <v>0</v>
      </c>
      <c r="Q81" s="44">
        <f t="shared" si="1"/>
        <v>0</v>
      </c>
      <c r="R81" s="44">
        <v>0</v>
      </c>
      <c r="S81" s="69">
        <v>0</v>
      </c>
      <c r="T81" s="69">
        <v>0</v>
      </c>
      <c r="U81" s="44">
        <f t="shared" si="2"/>
        <v>0</v>
      </c>
      <c r="V81" s="44">
        <f t="shared" si="3"/>
        <v>0</v>
      </c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5"/>
      <c r="BH81" s="5"/>
      <c r="BI81" s="5"/>
      <c r="BJ81" s="5"/>
      <c r="BK81" s="5"/>
      <c r="BL81" s="5"/>
      <c r="BM81" s="5"/>
      <c r="BN81" s="5"/>
      <c r="BO81" s="5"/>
      <c r="BP81" s="5"/>
      <c r="BQ81" s="5"/>
      <c r="BR81" s="5"/>
      <c r="BS81" s="5"/>
      <c r="BT81" s="5"/>
      <c r="BU81" s="5"/>
      <c r="BV81" s="5"/>
      <c r="BW81" s="5"/>
      <c r="BX81" s="5"/>
    </row>
    <row r="82" spans="1:76">
      <c r="A82" s="110">
        <v>70</v>
      </c>
      <c r="B82" s="63" t="s">
        <v>319</v>
      </c>
      <c r="C82" s="74" t="s">
        <v>308</v>
      </c>
      <c r="D82" s="78" t="s">
        <v>486</v>
      </c>
      <c r="E82" s="125" t="s">
        <v>419</v>
      </c>
      <c r="F82" s="140">
        <v>45154</v>
      </c>
      <c r="G82" s="75" t="s">
        <v>124</v>
      </c>
      <c r="H82" s="60">
        <f>32355</f>
        <v>32355</v>
      </c>
      <c r="I82" s="68">
        <v>0</v>
      </c>
      <c r="J82" s="68">
        <v>0</v>
      </c>
      <c r="K82" s="141"/>
      <c r="L82" s="142">
        <v>0</v>
      </c>
      <c r="M82" s="62">
        <f t="shared" si="0"/>
        <v>32355</v>
      </c>
      <c r="N82" s="62">
        <f t="shared" si="15"/>
        <v>9522</v>
      </c>
      <c r="O82" s="113">
        <f>495</f>
        <v>495</v>
      </c>
      <c r="P82" s="62">
        <v>0</v>
      </c>
      <c r="Q82" s="62">
        <f t="shared" si="1"/>
        <v>469</v>
      </c>
      <c r="R82" s="119">
        <f>187</f>
        <v>187</v>
      </c>
      <c r="S82" s="62">
        <v>8310</v>
      </c>
      <c r="T82" s="62">
        <v>486</v>
      </c>
      <c r="U82" s="62">
        <f t="shared" si="2"/>
        <v>19469</v>
      </c>
      <c r="V82" s="62">
        <f t="shared" si="3"/>
        <v>51824</v>
      </c>
      <c r="W82" s="112"/>
      <c r="X82" s="112"/>
      <c r="Y82" s="112"/>
      <c r="Z82" s="112"/>
      <c r="AA82" s="112"/>
      <c r="AB82" s="112"/>
      <c r="AC82" s="112"/>
      <c r="AD82" s="112"/>
      <c r="AE82" s="112"/>
      <c r="AF82" s="112"/>
      <c r="AG82" s="112"/>
      <c r="AH82" s="112"/>
      <c r="AI82" s="112"/>
      <c r="AJ82" s="112"/>
      <c r="AK82" s="112"/>
      <c r="AL82" s="112"/>
      <c r="AM82" s="112"/>
      <c r="AN82" s="112"/>
      <c r="AO82" s="112"/>
      <c r="AP82" s="112"/>
      <c r="AQ82" s="112"/>
      <c r="AR82" s="112"/>
      <c r="AS82" s="112"/>
      <c r="AT82" s="112"/>
      <c r="AU82" s="112"/>
      <c r="AV82" s="112"/>
      <c r="AW82" s="112"/>
      <c r="AX82" s="112"/>
      <c r="AY82" s="112"/>
      <c r="AZ82" s="112"/>
      <c r="BA82" s="112"/>
      <c r="BB82" s="112"/>
      <c r="BC82" s="112"/>
      <c r="BD82" s="112"/>
      <c r="BE82" s="112"/>
      <c r="BF82" s="112"/>
    </row>
    <row r="83" spans="1:76" ht="24.95" customHeight="1">
      <c r="A83" s="38">
        <v>71</v>
      </c>
      <c r="B83" s="58" t="s">
        <v>365</v>
      </c>
      <c r="C83" s="74" t="s">
        <v>364</v>
      </c>
      <c r="D83" s="127" t="s">
        <v>366</v>
      </c>
      <c r="E83" s="128" t="s">
        <v>421</v>
      </c>
      <c r="F83" s="129">
        <v>34820</v>
      </c>
      <c r="G83" s="75" t="s">
        <v>72</v>
      </c>
      <c r="H83" s="60">
        <v>75392</v>
      </c>
      <c r="I83" s="68">
        <v>0</v>
      </c>
      <c r="J83" s="40">
        <v>0</v>
      </c>
      <c r="K83" s="164">
        <v>46208</v>
      </c>
      <c r="L83" s="165">
        <f>598/4</f>
        <v>149.5</v>
      </c>
      <c r="M83" s="44">
        <f t="shared" si="0"/>
        <v>75541.5</v>
      </c>
      <c r="N83" s="44">
        <f>ROUND((M83*0.2943),0)</f>
        <v>22232</v>
      </c>
      <c r="O83" s="42">
        <f>495</f>
        <v>495</v>
      </c>
      <c r="P83" s="44">
        <v>0</v>
      </c>
      <c r="Q83" s="44">
        <f t="shared" si="1"/>
        <v>1095</v>
      </c>
      <c r="R83" s="107">
        <f>187</f>
        <v>187</v>
      </c>
      <c r="S83" s="62">
        <v>13493</v>
      </c>
      <c r="T83" s="62">
        <v>342</v>
      </c>
      <c r="U83" s="44">
        <f t="shared" si="2"/>
        <v>37844</v>
      </c>
      <c r="V83" s="44">
        <f t="shared" si="3"/>
        <v>113385.5</v>
      </c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5"/>
      <c r="BH83" s="5"/>
      <c r="BI83" s="5"/>
      <c r="BJ83" s="5"/>
      <c r="BK83" s="5"/>
      <c r="BL83" s="5"/>
      <c r="BM83" s="5"/>
      <c r="BN83" s="5"/>
      <c r="BO83" s="5"/>
      <c r="BP83" s="5"/>
      <c r="BQ83" s="5"/>
      <c r="BR83" s="5"/>
      <c r="BS83" s="5"/>
      <c r="BT83" s="5"/>
      <c r="BU83" s="5"/>
      <c r="BV83" s="5"/>
      <c r="BW83" s="5"/>
      <c r="BX83" s="5"/>
    </row>
    <row r="84" spans="1:76" s="144" customFormat="1" ht="24.95" customHeight="1">
      <c r="A84" s="188">
        <v>72</v>
      </c>
      <c r="B84" s="189" t="s">
        <v>367</v>
      </c>
      <c r="C84" s="190" t="s">
        <v>357</v>
      </c>
      <c r="D84" s="191" t="s">
        <v>485</v>
      </c>
      <c r="E84" s="192" t="s">
        <v>421</v>
      </c>
      <c r="F84" s="193"/>
      <c r="G84" s="194" t="s">
        <v>467</v>
      </c>
      <c r="H84" s="195">
        <v>42940</v>
      </c>
      <c r="I84" s="196">
        <v>0</v>
      </c>
      <c r="J84" s="196">
        <v>0</v>
      </c>
      <c r="K84" s="197"/>
      <c r="L84" s="198">
        <v>0</v>
      </c>
      <c r="M84" s="199">
        <f t="shared" si="0"/>
        <v>42940</v>
      </c>
      <c r="N84" s="199">
        <f t="shared" ref="N84" si="16">ROUND((M84*0.2943),0)</f>
        <v>12637</v>
      </c>
      <c r="O84" s="199">
        <v>495</v>
      </c>
      <c r="P84" s="199">
        <v>0</v>
      </c>
      <c r="Q84" s="199">
        <f t="shared" si="1"/>
        <v>623</v>
      </c>
      <c r="R84" s="199">
        <v>187</v>
      </c>
      <c r="S84" s="199">
        <v>0</v>
      </c>
      <c r="T84" s="199">
        <v>0</v>
      </c>
      <c r="U84" s="199">
        <f t="shared" si="2"/>
        <v>13942</v>
      </c>
      <c r="V84" s="199">
        <f t="shared" si="3"/>
        <v>56882</v>
      </c>
      <c r="W84" s="143"/>
      <c r="X84" s="143"/>
      <c r="Y84" s="143"/>
      <c r="Z84" s="143"/>
      <c r="AA84" s="143"/>
      <c r="AB84" s="143"/>
      <c r="AC84" s="143"/>
      <c r="AD84" s="143"/>
      <c r="AE84" s="143"/>
      <c r="AF84" s="143"/>
      <c r="AG84" s="143"/>
      <c r="AH84" s="143"/>
      <c r="AI84" s="143"/>
      <c r="AJ84" s="143"/>
      <c r="AK84" s="143"/>
      <c r="AL84" s="143"/>
      <c r="AM84" s="143"/>
      <c r="AN84" s="143"/>
      <c r="AO84" s="143"/>
      <c r="AP84" s="143"/>
      <c r="AQ84" s="143"/>
      <c r="AR84" s="143"/>
      <c r="AS84" s="143"/>
      <c r="AT84" s="143"/>
      <c r="AU84" s="143"/>
      <c r="AV84" s="143"/>
      <c r="AW84" s="143"/>
      <c r="AX84" s="143"/>
      <c r="AY84" s="143"/>
      <c r="AZ84" s="143"/>
      <c r="BA84" s="143"/>
      <c r="BB84" s="143"/>
      <c r="BC84" s="143"/>
      <c r="BD84" s="143"/>
      <c r="BE84" s="143"/>
      <c r="BF84" s="143"/>
    </row>
    <row r="85" spans="1:76" ht="24.95" customHeight="1">
      <c r="A85" s="110">
        <v>73</v>
      </c>
      <c r="B85" s="58" t="s">
        <v>368</v>
      </c>
      <c r="C85" s="63" t="s">
        <v>297</v>
      </c>
      <c r="D85" s="127" t="s">
        <v>484</v>
      </c>
      <c r="E85" s="128" t="s">
        <v>421</v>
      </c>
      <c r="F85" s="129">
        <v>45530</v>
      </c>
      <c r="G85" s="75" t="s">
        <v>322</v>
      </c>
      <c r="H85" s="60">
        <v>48008</v>
      </c>
      <c r="I85" s="68">
        <v>0</v>
      </c>
      <c r="J85" s="68">
        <v>0</v>
      </c>
      <c r="K85" s="141">
        <v>45991</v>
      </c>
      <c r="L85" s="142">
        <f>1667/4</f>
        <v>416.75</v>
      </c>
      <c r="M85" s="62">
        <f t="shared" si="0"/>
        <v>48424.75</v>
      </c>
      <c r="N85" s="62">
        <f t="shared" ref="N85:N87" si="17">ROUND((M85*0.2943),0)</f>
        <v>14251</v>
      </c>
      <c r="O85" s="113">
        <f>495</f>
        <v>495</v>
      </c>
      <c r="P85" s="62">
        <v>0</v>
      </c>
      <c r="Q85" s="62">
        <f t="shared" si="1"/>
        <v>702</v>
      </c>
      <c r="R85" s="119">
        <f>187</f>
        <v>187</v>
      </c>
      <c r="S85" s="62">
        <v>8310</v>
      </c>
      <c r="T85" s="62">
        <v>342</v>
      </c>
      <c r="U85" s="62">
        <f t="shared" si="2"/>
        <v>24287</v>
      </c>
      <c r="V85" s="62">
        <f t="shared" si="3"/>
        <v>72711.75</v>
      </c>
      <c r="W85" s="112"/>
      <c r="X85" s="112"/>
      <c r="Y85" s="112"/>
      <c r="Z85" s="112"/>
      <c r="AA85" s="112"/>
      <c r="AB85" s="112"/>
      <c r="AC85" s="112"/>
      <c r="AD85" s="112"/>
      <c r="AE85" s="112"/>
      <c r="AF85" s="112"/>
      <c r="AG85" s="112"/>
      <c r="AH85" s="112"/>
      <c r="AI85" s="112"/>
      <c r="AJ85" s="112"/>
      <c r="AK85" s="112"/>
      <c r="AL85" s="112"/>
      <c r="AM85" s="112"/>
      <c r="AN85" s="112"/>
      <c r="AO85" s="112"/>
      <c r="AP85" s="112"/>
      <c r="AQ85" s="112"/>
      <c r="AR85" s="112"/>
      <c r="AS85" s="112"/>
      <c r="AT85" s="112"/>
      <c r="AU85" s="112"/>
      <c r="AV85" s="112"/>
      <c r="AW85" s="112"/>
      <c r="AX85" s="112"/>
      <c r="AY85" s="112"/>
      <c r="AZ85" s="112"/>
      <c r="BA85" s="112"/>
      <c r="BB85" s="112"/>
      <c r="BC85" s="112"/>
      <c r="BD85" s="112"/>
      <c r="BE85" s="112"/>
      <c r="BF85" s="112"/>
    </row>
    <row r="86" spans="1:76" ht="24.95" customHeight="1">
      <c r="A86" s="110">
        <v>74</v>
      </c>
      <c r="B86" s="58" t="s">
        <v>369</v>
      </c>
      <c r="C86" s="74" t="s">
        <v>208</v>
      </c>
      <c r="D86" s="78" t="s">
        <v>506</v>
      </c>
      <c r="E86" s="128" t="s">
        <v>421</v>
      </c>
      <c r="F86" s="111">
        <v>45201</v>
      </c>
      <c r="G86" s="75" t="s">
        <v>302</v>
      </c>
      <c r="H86" s="60">
        <v>37913</v>
      </c>
      <c r="I86" s="68">
        <v>0</v>
      </c>
      <c r="J86" s="68">
        <v>0</v>
      </c>
      <c r="K86" s="141">
        <v>46133</v>
      </c>
      <c r="L86" s="142">
        <f>718/4</f>
        <v>179.5</v>
      </c>
      <c r="M86" s="62">
        <f t="shared" si="0"/>
        <v>38092.5</v>
      </c>
      <c r="N86" s="62">
        <f t="shared" si="17"/>
        <v>11211</v>
      </c>
      <c r="O86" s="113">
        <f>495</f>
        <v>495</v>
      </c>
      <c r="P86" s="62">
        <v>0</v>
      </c>
      <c r="Q86" s="62">
        <f t="shared" si="1"/>
        <v>552</v>
      </c>
      <c r="R86" s="119">
        <f>187</f>
        <v>187</v>
      </c>
      <c r="S86" s="62">
        <v>11192</v>
      </c>
      <c r="T86" s="62">
        <v>486</v>
      </c>
      <c r="U86" s="62">
        <f t="shared" si="2"/>
        <v>24123</v>
      </c>
      <c r="V86" s="62">
        <f t="shared" si="3"/>
        <v>62215.5</v>
      </c>
      <c r="W86" s="112"/>
      <c r="X86" s="112"/>
      <c r="Y86" s="112"/>
      <c r="Z86" s="112"/>
      <c r="AA86" s="112"/>
      <c r="AB86" s="112"/>
      <c r="AC86" s="112"/>
      <c r="AD86" s="112"/>
      <c r="AE86" s="112"/>
      <c r="AF86" s="112"/>
      <c r="AG86" s="112"/>
      <c r="AH86" s="112"/>
      <c r="AI86" s="112"/>
      <c r="AJ86" s="112"/>
      <c r="AK86" s="112"/>
      <c r="AL86" s="112"/>
      <c r="AM86" s="112"/>
      <c r="AN86" s="112"/>
      <c r="AO86" s="112"/>
      <c r="AP86" s="112"/>
      <c r="AQ86" s="112"/>
      <c r="AR86" s="112"/>
      <c r="AS86" s="112"/>
      <c r="AT86" s="112"/>
      <c r="AU86" s="112"/>
      <c r="AV86" s="112"/>
      <c r="AW86" s="112"/>
      <c r="AX86" s="112"/>
      <c r="AY86" s="112"/>
      <c r="AZ86" s="112"/>
      <c r="BA86" s="112"/>
      <c r="BB86" s="112"/>
      <c r="BC86" s="112"/>
      <c r="BD86" s="112"/>
      <c r="BE86" s="112"/>
      <c r="BF86" s="112"/>
    </row>
    <row r="87" spans="1:76" ht="32.25">
      <c r="A87" s="110">
        <v>75</v>
      </c>
      <c r="B87" s="58" t="s">
        <v>370</v>
      </c>
      <c r="C87" s="74" t="s">
        <v>487</v>
      </c>
      <c r="D87" s="127" t="s">
        <v>488</v>
      </c>
      <c r="E87" s="128" t="s">
        <v>421</v>
      </c>
      <c r="F87" s="129"/>
      <c r="G87" s="75" t="s">
        <v>147</v>
      </c>
      <c r="H87" s="60">
        <v>41372</v>
      </c>
      <c r="I87" s="68">
        <v>0</v>
      </c>
      <c r="J87" s="68">
        <v>0</v>
      </c>
      <c r="K87" s="141"/>
      <c r="L87" s="142">
        <v>0</v>
      </c>
      <c r="M87" s="62">
        <f t="shared" si="0"/>
        <v>41372</v>
      </c>
      <c r="N87" s="62">
        <f t="shared" si="17"/>
        <v>12176</v>
      </c>
      <c r="O87" s="62">
        <v>0</v>
      </c>
      <c r="P87" s="62">
        <v>0</v>
      </c>
      <c r="Q87" s="62">
        <f t="shared" si="1"/>
        <v>600</v>
      </c>
      <c r="R87" s="62">
        <v>0</v>
      </c>
      <c r="S87" s="62">
        <v>8310</v>
      </c>
      <c r="T87" s="62">
        <v>486</v>
      </c>
      <c r="U87" s="62">
        <f t="shared" si="2"/>
        <v>21572</v>
      </c>
      <c r="V87" s="62">
        <f t="shared" si="3"/>
        <v>62944</v>
      </c>
      <c r="W87" s="112"/>
      <c r="X87" s="112"/>
      <c r="Y87" s="112"/>
      <c r="Z87" s="112"/>
      <c r="AA87" s="112"/>
      <c r="AB87" s="112"/>
      <c r="AC87" s="112"/>
      <c r="AD87" s="112"/>
      <c r="AE87" s="112"/>
      <c r="AF87" s="112"/>
      <c r="AG87" s="112"/>
      <c r="AH87" s="112"/>
      <c r="AI87" s="112"/>
      <c r="AJ87" s="112"/>
      <c r="AK87" s="112"/>
      <c r="AL87" s="112"/>
      <c r="AM87" s="112"/>
      <c r="AN87" s="112"/>
      <c r="AO87" s="112"/>
      <c r="AP87" s="112"/>
      <c r="AQ87" s="112"/>
      <c r="AR87" s="112"/>
      <c r="AS87" s="112"/>
      <c r="AT87" s="112"/>
      <c r="AU87" s="112"/>
      <c r="AV87" s="112"/>
      <c r="AW87" s="112"/>
      <c r="AX87" s="112"/>
      <c r="AY87" s="112"/>
      <c r="AZ87" s="112"/>
      <c r="BA87" s="112"/>
      <c r="BB87" s="112"/>
      <c r="BC87" s="112"/>
      <c r="BD87" s="112"/>
      <c r="BE87" s="112"/>
      <c r="BF87" s="112"/>
    </row>
    <row r="88" spans="1:76">
      <c r="A88" s="38">
        <v>76</v>
      </c>
      <c r="B88" s="130">
        <v>2001</v>
      </c>
      <c r="C88" s="45" t="s">
        <v>121</v>
      </c>
      <c r="D88" s="76" t="s">
        <v>486</v>
      </c>
      <c r="E88" s="81" t="s">
        <v>417</v>
      </c>
      <c r="F88" s="99"/>
      <c r="G88" s="45" t="s">
        <v>93</v>
      </c>
      <c r="H88" s="64">
        <f>41372</f>
        <v>41372</v>
      </c>
      <c r="I88" s="68">
        <v>0</v>
      </c>
      <c r="J88" s="40">
        <v>0</v>
      </c>
      <c r="K88" s="164"/>
      <c r="L88" s="165">
        <f>784/4</f>
        <v>196</v>
      </c>
      <c r="M88" s="44">
        <f t="shared" si="0"/>
        <v>41568</v>
      </c>
      <c r="N88" s="44">
        <f>ROUND((M88*0.2943),0)</f>
        <v>12233</v>
      </c>
      <c r="O88" s="42">
        <f>495</f>
        <v>495</v>
      </c>
      <c r="P88" s="44">
        <v>0</v>
      </c>
      <c r="Q88" s="44">
        <f t="shared" si="1"/>
        <v>603</v>
      </c>
      <c r="R88" s="107">
        <f>187</f>
        <v>187</v>
      </c>
      <c r="S88" s="44">
        <v>8310</v>
      </c>
      <c r="T88" s="44">
        <v>486</v>
      </c>
      <c r="U88" s="44">
        <f t="shared" si="2"/>
        <v>22314</v>
      </c>
      <c r="V88" s="44">
        <f t="shared" si="3"/>
        <v>63882</v>
      </c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5"/>
      <c r="BH88" s="5"/>
      <c r="BI88" s="5"/>
      <c r="BJ88" s="5"/>
      <c r="BK88" s="5"/>
      <c r="BL88" s="5"/>
      <c r="BM88" s="5"/>
      <c r="BN88" s="5"/>
      <c r="BO88" s="5"/>
      <c r="BP88" s="5"/>
      <c r="BQ88" s="5"/>
      <c r="BR88" s="5"/>
      <c r="BS88" s="5"/>
      <c r="BT88" s="5"/>
      <c r="BU88" s="5"/>
      <c r="BV88" s="5"/>
      <c r="BW88" s="5"/>
      <c r="BX88" s="5"/>
    </row>
    <row r="89" spans="1:76">
      <c r="A89" s="38">
        <v>77</v>
      </c>
      <c r="B89" s="50" t="s">
        <v>122</v>
      </c>
      <c r="C89" s="45" t="s">
        <v>101</v>
      </c>
      <c r="D89" s="76" t="s">
        <v>123</v>
      </c>
      <c r="E89" s="81" t="s">
        <v>417</v>
      </c>
      <c r="F89" s="99">
        <v>44305</v>
      </c>
      <c r="G89" s="45" t="s">
        <v>124</v>
      </c>
      <c r="H89" s="64">
        <f>32355</f>
        <v>32355</v>
      </c>
      <c r="I89" s="68">
        <v>0</v>
      </c>
      <c r="J89" s="40">
        <v>0</v>
      </c>
      <c r="K89" s="164"/>
      <c r="L89" s="165">
        <v>0</v>
      </c>
      <c r="M89" s="44">
        <f t="shared" si="0"/>
        <v>32355</v>
      </c>
      <c r="N89" s="44">
        <f>ROUND((M89*0.2943),0)</f>
        <v>9522</v>
      </c>
      <c r="O89" s="42">
        <f>495</f>
        <v>495</v>
      </c>
      <c r="P89" s="44">
        <v>0</v>
      </c>
      <c r="Q89" s="44">
        <f t="shared" si="1"/>
        <v>469</v>
      </c>
      <c r="R89" s="107">
        <f>187</f>
        <v>187</v>
      </c>
      <c r="S89" s="44">
        <v>8551</v>
      </c>
      <c r="T89" s="44">
        <v>342</v>
      </c>
      <c r="U89" s="44">
        <f t="shared" si="2"/>
        <v>19566</v>
      </c>
      <c r="V89" s="44">
        <f t="shared" si="3"/>
        <v>51921</v>
      </c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5"/>
      <c r="BH89" s="5"/>
      <c r="BI89" s="5"/>
      <c r="BJ89" s="5"/>
      <c r="BK89" s="5"/>
      <c r="BL89" s="5"/>
      <c r="BM89" s="5"/>
      <c r="BN89" s="5"/>
      <c r="BO89" s="5"/>
      <c r="BP89" s="5"/>
      <c r="BQ89" s="5"/>
      <c r="BR89" s="5"/>
      <c r="BS89" s="5"/>
      <c r="BT89" s="5"/>
      <c r="BU89" s="5"/>
      <c r="BV89" s="5"/>
      <c r="BW89" s="5"/>
      <c r="BX89" s="5"/>
    </row>
    <row r="90" spans="1:76">
      <c r="A90" s="38">
        <v>78</v>
      </c>
      <c r="B90" s="80" t="s">
        <v>390</v>
      </c>
      <c r="C90" s="45" t="s">
        <v>432</v>
      </c>
      <c r="D90" s="76" t="s">
        <v>391</v>
      </c>
      <c r="E90" s="81" t="s">
        <v>422</v>
      </c>
      <c r="F90" s="99">
        <v>43381</v>
      </c>
      <c r="G90" s="45" t="s">
        <v>489</v>
      </c>
      <c r="H90" s="64">
        <v>68648</v>
      </c>
      <c r="I90" s="68">
        <v>0</v>
      </c>
      <c r="J90" s="40">
        <v>0</v>
      </c>
      <c r="K90" s="164">
        <v>45927</v>
      </c>
      <c r="L90" s="165">
        <f>181/4</f>
        <v>45.25</v>
      </c>
      <c r="M90" s="44">
        <f t="shared" si="0"/>
        <v>68693.25</v>
      </c>
      <c r="N90" s="44">
        <f>ROUND((M90*0.2943),0)</f>
        <v>20216</v>
      </c>
      <c r="O90" s="42">
        <f>495</f>
        <v>495</v>
      </c>
      <c r="P90" s="44">
        <v>0</v>
      </c>
      <c r="Q90" s="44">
        <f t="shared" si="1"/>
        <v>996</v>
      </c>
      <c r="R90" s="107">
        <f>187</f>
        <v>187</v>
      </c>
      <c r="S90" s="44">
        <v>8551</v>
      </c>
      <c r="T90" s="44">
        <v>342</v>
      </c>
      <c r="U90" s="44">
        <f t="shared" si="2"/>
        <v>30787</v>
      </c>
      <c r="V90" s="44">
        <f t="shared" si="3"/>
        <v>99480.25</v>
      </c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5"/>
      <c r="BH90" s="5"/>
      <c r="BI90" s="5"/>
      <c r="BJ90" s="5"/>
      <c r="BK90" s="5"/>
      <c r="BL90" s="5"/>
      <c r="BM90" s="5"/>
      <c r="BN90" s="5"/>
      <c r="BO90" s="5"/>
      <c r="BP90" s="5"/>
      <c r="BQ90" s="5"/>
      <c r="BR90" s="5"/>
      <c r="BS90" s="5"/>
      <c r="BT90" s="5"/>
      <c r="BU90" s="5"/>
      <c r="BV90" s="5"/>
      <c r="BW90" s="5"/>
      <c r="BX90" s="5"/>
    </row>
    <row r="91" spans="1:76">
      <c r="A91" s="110">
        <v>79</v>
      </c>
      <c r="B91" s="131" t="s">
        <v>397</v>
      </c>
      <c r="C91" s="63" t="s">
        <v>398</v>
      </c>
      <c r="D91" s="76" t="s">
        <v>399</v>
      </c>
      <c r="E91" s="81" t="s">
        <v>422</v>
      </c>
      <c r="F91" s="99">
        <v>43563</v>
      </c>
      <c r="G91" s="63" t="s">
        <v>490</v>
      </c>
      <c r="H91" s="64">
        <v>55402</v>
      </c>
      <c r="I91" s="68">
        <v>0</v>
      </c>
      <c r="J91" s="68">
        <v>0</v>
      </c>
      <c r="K91" s="141">
        <v>46319</v>
      </c>
      <c r="L91" s="142">
        <f>1758/4</f>
        <v>439.5</v>
      </c>
      <c r="M91" s="62">
        <f>(+H91+I91+J91+L91)</f>
        <v>55841.5</v>
      </c>
      <c r="N91" s="62">
        <f t="shared" ref="N91:N94" si="18">ROUND((M91*0.2943),0)</f>
        <v>16434</v>
      </c>
      <c r="O91" s="113">
        <f>495</f>
        <v>495</v>
      </c>
      <c r="P91" s="62">
        <v>0</v>
      </c>
      <c r="Q91" s="62">
        <f t="shared" si="1"/>
        <v>810</v>
      </c>
      <c r="R91" s="119">
        <f>187</f>
        <v>187</v>
      </c>
      <c r="S91" s="62">
        <v>21918</v>
      </c>
      <c r="T91" s="62">
        <v>653</v>
      </c>
      <c r="U91" s="62">
        <f t="shared" si="2"/>
        <v>40497</v>
      </c>
      <c r="V91" s="62">
        <f t="shared" si="3"/>
        <v>96338.5</v>
      </c>
      <c r="W91" s="112"/>
      <c r="X91" s="112"/>
      <c r="Y91" s="112"/>
      <c r="Z91" s="112"/>
      <c r="AA91" s="112"/>
      <c r="AB91" s="112"/>
      <c r="AC91" s="112"/>
      <c r="AD91" s="112"/>
      <c r="AE91" s="112"/>
      <c r="AF91" s="112"/>
      <c r="AG91" s="112"/>
      <c r="AH91" s="112"/>
      <c r="AI91" s="112"/>
      <c r="AJ91" s="112"/>
      <c r="AK91" s="112"/>
      <c r="AL91" s="112"/>
      <c r="AM91" s="112"/>
      <c r="AN91" s="112"/>
      <c r="AO91" s="112"/>
      <c r="AP91" s="112"/>
      <c r="AQ91" s="112"/>
      <c r="AR91" s="112"/>
      <c r="AS91" s="112"/>
      <c r="AT91" s="112"/>
      <c r="AU91" s="112"/>
      <c r="AV91" s="112"/>
      <c r="AW91" s="112"/>
      <c r="AX91" s="112"/>
      <c r="AY91" s="112"/>
      <c r="AZ91" s="112"/>
      <c r="BA91" s="112"/>
      <c r="BB91" s="112"/>
      <c r="BC91" s="112"/>
      <c r="BD91" s="112"/>
      <c r="BE91" s="112"/>
      <c r="BF91" s="112"/>
    </row>
    <row r="92" spans="1:76">
      <c r="A92" s="38">
        <v>80</v>
      </c>
      <c r="B92" s="80" t="s">
        <v>400</v>
      </c>
      <c r="C92" s="45" t="s">
        <v>398</v>
      </c>
      <c r="D92" s="76" t="s">
        <v>401</v>
      </c>
      <c r="E92" s="81" t="s">
        <v>422</v>
      </c>
      <c r="F92" s="99">
        <v>40637</v>
      </c>
      <c r="G92" s="45" t="s">
        <v>115</v>
      </c>
      <c r="H92" s="64">
        <v>48894</v>
      </c>
      <c r="I92" s="68">
        <v>0</v>
      </c>
      <c r="J92" s="40">
        <v>0</v>
      </c>
      <c r="K92" s="164">
        <v>46334</v>
      </c>
      <c r="L92" s="165">
        <f>1423/4</f>
        <v>355.75</v>
      </c>
      <c r="M92" s="44">
        <f>(+H92+I92+J92+L92)</f>
        <v>49249.75</v>
      </c>
      <c r="N92" s="44">
        <f t="shared" si="18"/>
        <v>14494</v>
      </c>
      <c r="O92" s="42">
        <f>495</f>
        <v>495</v>
      </c>
      <c r="P92" s="44">
        <v>0</v>
      </c>
      <c r="Q92" s="44">
        <f t="shared" si="1"/>
        <v>714</v>
      </c>
      <c r="R92" s="107">
        <f>187</f>
        <v>187</v>
      </c>
      <c r="S92" s="44">
        <v>13493</v>
      </c>
      <c r="T92" s="44">
        <v>404</v>
      </c>
      <c r="U92" s="44">
        <f t="shared" si="2"/>
        <v>29787</v>
      </c>
      <c r="V92" s="44">
        <f t="shared" si="3"/>
        <v>79036.75</v>
      </c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5"/>
      <c r="BH92" s="5"/>
      <c r="BI92" s="5"/>
      <c r="BJ92" s="5"/>
      <c r="BK92" s="5"/>
      <c r="BL92" s="5"/>
      <c r="BM92" s="5"/>
      <c r="BN92" s="5"/>
      <c r="BO92" s="5"/>
      <c r="BP92" s="5"/>
      <c r="BQ92" s="5"/>
      <c r="BR92" s="5"/>
      <c r="BS92" s="5"/>
      <c r="BT92" s="5"/>
      <c r="BU92" s="5"/>
      <c r="BV92" s="5"/>
      <c r="BW92" s="5"/>
      <c r="BX92" s="5"/>
    </row>
    <row r="93" spans="1:76">
      <c r="A93" s="38">
        <v>81</v>
      </c>
      <c r="B93" s="80" t="s">
        <v>402</v>
      </c>
      <c r="C93" s="45" t="s">
        <v>403</v>
      </c>
      <c r="D93" s="76" t="s">
        <v>92</v>
      </c>
      <c r="E93" s="81"/>
      <c r="F93" s="99"/>
      <c r="G93" s="45" t="s">
        <v>93</v>
      </c>
      <c r="H93" s="64">
        <v>0</v>
      </c>
      <c r="I93" s="68">
        <v>0</v>
      </c>
      <c r="J93" s="40">
        <v>0</v>
      </c>
      <c r="K93" s="164"/>
      <c r="L93" s="165">
        <v>0</v>
      </c>
      <c r="M93" s="44">
        <f t="shared" ref="M93:M94" si="19">(+H93+I93+J93+L93)</f>
        <v>0</v>
      </c>
      <c r="N93" s="44">
        <f t="shared" si="18"/>
        <v>0</v>
      </c>
      <c r="O93" s="44">
        <v>0</v>
      </c>
      <c r="P93" s="44">
        <v>0</v>
      </c>
      <c r="Q93" s="44">
        <f t="shared" si="1"/>
        <v>0</v>
      </c>
      <c r="R93" s="44">
        <v>0</v>
      </c>
      <c r="S93" s="44">
        <v>0</v>
      </c>
      <c r="T93" s="44">
        <v>0</v>
      </c>
      <c r="U93" s="44">
        <f t="shared" si="2"/>
        <v>0</v>
      </c>
      <c r="V93" s="44">
        <f t="shared" si="3"/>
        <v>0</v>
      </c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5"/>
      <c r="BH93" s="5"/>
      <c r="BI93" s="5"/>
      <c r="BJ93" s="5"/>
      <c r="BK93" s="5"/>
      <c r="BL93" s="5"/>
      <c r="BM93" s="5"/>
      <c r="BN93" s="5"/>
      <c r="BO93" s="5"/>
      <c r="BP93" s="5"/>
      <c r="BQ93" s="5"/>
      <c r="BR93" s="5"/>
      <c r="BS93" s="5"/>
      <c r="BT93" s="5"/>
      <c r="BU93" s="5"/>
      <c r="BV93" s="5"/>
      <c r="BW93" s="5"/>
      <c r="BX93" s="5"/>
    </row>
    <row r="94" spans="1:76">
      <c r="A94" s="38">
        <v>82</v>
      </c>
      <c r="B94" s="80" t="s">
        <v>404</v>
      </c>
      <c r="C94" s="45" t="s">
        <v>405</v>
      </c>
      <c r="D94" s="76" t="s">
        <v>92</v>
      </c>
      <c r="E94" s="81"/>
      <c r="F94" s="99"/>
      <c r="G94" s="45" t="s">
        <v>69</v>
      </c>
      <c r="H94" s="64">
        <v>0</v>
      </c>
      <c r="I94" s="68">
        <v>0</v>
      </c>
      <c r="J94" s="40">
        <v>0</v>
      </c>
      <c r="K94" s="164"/>
      <c r="L94" s="165">
        <v>0</v>
      </c>
      <c r="M94" s="44">
        <f t="shared" si="19"/>
        <v>0</v>
      </c>
      <c r="N94" s="44">
        <f t="shared" si="18"/>
        <v>0</v>
      </c>
      <c r="O94" s="44">
        <v>0</v>
      </c>
      <c r="P94" s="44">
        <v>0</v>
      </c>
      <c r="Q94" s="44">
        <f t="shared" si="1"/>
        <v>0</v>
      </c>
      <c r="R94" s="44">
        <v>0</v>
      </c>
      <c r="S94" s="44">
        <v>0</v>
      </c>
      <c r="T94" s="44">
        <v>0</v>
      </c>
      <c r="U94" s="44">
        <f t="shared" si="2"/>
        <v>0</v>
      </c>
      <c r="V94" s="44">
        <f t="shared" si="3"/>
        <v>0</v>
      </c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5"/>
      <c r="BH94" s="5"/>
      <c r="BI94" s="5"/>
      <c r="BJ94" s="5"/>
      <c r="BK94" s="5"/>
      <c r="BL94" s="5"/>
      <c r="BM94" s="5"/>
      <c r="BN94" s="5"/>
      <c r="BO94" s="5"/>
      <c r="BP94" s="5"/>
      <c r="BQ94" s="5"/>
      <c r="BR94" s="5"/>
      <c r="BS94" s="5"/>
      <c r="BT94" s="5"/>
      <c r="BU94" s="5"/>
      <c r="BV94" s="5"/>
      <c r="BW94" s="5"/>
      <c r="BX94" s="5"/>
    </row>
    <row r="95" spans="1:76">
      <c r="A95" s="38">
        <v>83</v>
      </c>
      <c r="B95" s="80" t="s">
        <v>392</v>
      </c>
      <c r="C95" s="45" t="s">
        <v>393</v>
      </c>
      <c r="D95" s="76" t="s">
        <v>394</v>
      </c>
      <c r="E95" s="81"/>
      <c r="F95" s="99"/>
      <c r="G95" s="45" t="s">
        <v>157</v>
      </c>
      <c r="H95" s="64">
        <v>0</v>
      </c>
      <c r="I95" s="68">
        <v>0</v>
      </c>
      <c r="J95" s="40">
        <v>0</v>
      </c>
      <c r="K95" s="164"/>
      <c r="L95" s="165">
        <v>0</v>
      </c>
      <c r="M95" s="44">
        <f t="shared" si="0"/>
        <v>0</v>
      </c>
      <c r="N95" s="44">
        <f t="shared" ref="N95:N96" si="20">ROUND((M95*0.2943),0)</f>
        <v>0</v>
      </c>
      <c r="O95" s="44">
        <v>0</v>
      </c>
      <c r="P95" s="44">
        <v>0</v>
      </c>
      <c r="Q95" s="44">
        <f t="shared" si="1"/>
        <v>0</v>
      </c>
      <c r="R95" s="44">
        <v>0</v>
      </c>
      <c r="S95" s="44">
        <v>0</v>
      </c>
      <c r="T95" s="44">
        <v>0</v>
      </c>
      <c r="U95" s="44">
        <f t="shared" si="2"/>
        <v>0</v>
      </c>
      <c r="V95" s="44">
        <f t="shared" si="3"/>
        <v>0</v>
      </c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5"/>
      <c r="BH95" s="5"/>
      <c r="BI95" s="5"/>
      <c r="BJ95" s="5"/>
      <c r="BK95" s="5"/>
      <c r="BL95" s="5"/>
      <c r="BM95" s="5"/>
      <c r="BN95" s="5"/>
      <c r="BO95" s="5"/>
      <c r="BP95" s="5"/>
      <c r="BQ95" s="5"/>
      <c r="BR95" s="5"/>
      <c r="BS95" s="5"/>
      <c r="BT95" s="5"/>
      <c r="BU95" s="5"/>
      <c r="BV95" s="5"/>
      <c r="BW95" s="5"/>
      <c r="BX95" s="5"/>
    </row>
    <row r="96" spans="1:76">
      <c r="A96" s="110">
        <v>84</v>
      </c>
      <c r="B96" s="71" t="s">
        <v>396</v>
      </c>
      <c r="C96" s="63" t="s">
        <v>101</v>
      </c>
      <c r="D96" s="76" t="s">
        <v>395</v>
      </c>
      <c r="E96" s="81" t="s">
        <v>422</v>
      </c>
      <c r="F96" s="99">
        <v>44144</v>
      </c>
      <c r="G96" s="63" t="s">
        <v>78</v>
      </c>
      <c r="H96" s="64">
        <f>32355</f>
        <v>32355</v>
      </c>
      <c r="I96" s="68">
        <v>0</v>
      </c>
      <c r="J96" s="68">
        <v>0</v>
      </c>
      <c r="K96" s="141"/>
      <c r="L96" s="142">
        <v>0</v>
      </c>
      <c r="M96" s="62">
        <f t="shared" si="0"/>
        <v>32355</v>
      </c>
      <c r="N96" s="62">
        <f t="shared" si="20"/>
        <v>9522</v>
      </c>
      <c r="O96" s="113">
        <f>495</f>
        <v>495</v>
      </c>
      <c r="P96" s="62">
        <v>0</v>
      </c>
      <c r="Q96" s="62">
        <f t="shared" si="1"/>
        <v>469</v>
      </c>
      <c r="R96" s="119">
        <f>187</f>
        <v>187</v>
      </c>
      <c r="S96" s="62">
        <v>11192</v>
      </c>
      <c r="T96" s="62">
        <v>653</v>
      </c>
      <c r="U96" s="62">
        <f t="shared" si="2"/>
        <v>22518</v>
      </c>
      <c r="V96" s="62">
        <f t="shared" si="3"/>
        <v>54873</v>
      </c>
      <c r="W96" s="112"/>
      <c r="X96" s="112"/>
      <c r="Y96" s="112"/>
      <c r="Z96" s="112"/>
      <c r="AA96" s="112"/>
      <c r="AB96" s="112"/>
      <c r="AC96" s="112"/>
      <c r="AD96" s="112"/>
      <c r="AE96" s="112"/>
      <c r="AF96" s="112"/>
      <c r="AG96" s="112"/>
      <c r="AH96" s="112"/>
      <c r="AI96" s="112"/>
      <c r="AJ96" s="112"/>
      <c r="AK96" s="112"/>
      <c r="AL96" s="112"/>
      <c r="AM96" s="112"/>
      <c r="AN96" s="112"/>
      <c r="AO96" s="112"/>
      <c r="AP96" s="112"/>
      <c r="AQ96" s="112"/>
      <c r="AR96" s="112"/>
      <c r="AS96" s="112"/>
      <c r="AT96" s="112"/>
      <c r="AU96" s="112"/>
      <c r="AV96" s="112"/>
      <c r="AW96" s="112"/>
      <c r="AX96" s="112"/>
      <c r="AY96" s="112"/>
      <c r="AZ96" s="112"/>
      <c r="BA96" s="112"/>
      <c r="BB96" s="112"/>
      <c r="BC96" s="112"/>
      <c r="BD96" s="112"/>
      <c r="BE96" s="112"/>
      <c r="BF96" s="112"/>
    </row>
    <row r="97" spans="1:76">
      <c r="A97" s="110">
        <v>85</v>
      </c>
      <c r="B97" s="58">
        <v>3000</v>
      </c>
      <c r="C97" s="63" t="s">
        <v>475</v>
      </c>
      <c r="D97" s="76" t="s">
        <v>92</v>
      </c>
      <c r="E97" s="81"/>
      <c r="F97" s="99"/>
      <c r="G97" s="63" t="s">
        <v>125</v>
      </c>
      <c r="H97" s="64">
        <v>0</v>
      </c>
      <c r="I97" s="68">
        <v>0</v>
      </c>
      <c r="J97" s="68">
        <v>0</v>
      </c>
      <c r="K97" s="141"/>
      <c r="L97" s="142">
        <v>0</v>
      </c>
      <c r="M97" s="62">
        <f t="shared" si="0"/>
        <v>0</v>
      </c>
      <c r="N97" s="62">
        <f>ROUND((M97*0.2943),0)</f>
        <v>0</v>
      </c>
      <c r="O97" s="62">
        <v>0</v>
      </c>
      <c r="P97" s="62">
        <v>0</v>
      </c>
      <c r="Q97" s="62">
        <f t="shared" si="1"/>
        <v>0</v>
      </c>
      <c r="R97" s="62">
        <v>0</v>
      </c>
      <c r="S97" s="62">
        <v>0</v>
      </c>
      <c r="T97" s="62">
        <v>0</v>
      </c>
      <c r="U97" s="62">
        <f t="shared" si="2"/>
        <v>0</v>
      </c>
      <c r="V97" s="62">
        <f t="shared" si="3"/>
        <v>0</v>
      </c>
      <c r="W97" s="112"/>
      <c r="X97" s="112"/>
      <c r="Y97" s="112"/>
      <c r="Z97" s="112"/>
      <c r="AA97" s="112"/>
      <c r="AB97" s="112"/>
      <c r="AC97" s="112"/>
      <c r="AD97" s="112"/>
      <c r="AE97" s="112"/>
      <c r="AF97" s="112"/>
      <c r="AG97" s="112"/>
      <c r="AH97" s="112"/>
      <c r="AI97" s="112"/>
      <c r="AJ97" s="112"/>
      <c r="AK97" s="112"/>
      <c r="AL97" s="112"/>
      <c r="AM97" s="112"/>
      <c r="AN97" s="112"/>
      <c r="AO97" s="112"/>
      <c r="AP97" s="112"/>
      <c r="AQ97" s="112"/>
      <c r="AR97" s="112"/>
      <c r="AS97" s="112"/>
      <c r="AT97" s="112"/>
      <c r="AU97" s="112"/>
      <c r="AV97" s="112"/>
      <c r="AW97" s="112"/>
      <c r="AX97" s="112"/>
      <c r="AY97" s="112"/>
      <c r="AZ97" s="112"/>
      <c r="BA97" s="112"/>
      <c r="BB97" s="112"/>
      <c r="BC97" s="112"/>
      <c r="BD97" s="112"/>
      <c r="BE97" s="112"/>
      <c r="BF97" s="112"/>
    </row>
    <row r="98" spans="1:76">
      <c r="A98" s="110">
        <v>86</v>
      </c>
      <c r="B98" s="63">
        <v>3001</v>
      </c>
      <c r="C98" s="63" t="s">
        <v>126</v>
      </c>
      <c r="D98" s="76" t="s">
        <v>486</v>
      </c>
      <c r="E98" s="81" t="s">
        <v>417</v>
      </c>
      <c r="F98" s="99"/>
      <c r="G98" s="63" t="s">
        <v>143</v>
      </c>
      <c r="H98" s="64">
        <v>37913</v>
      </c>
      <c r="I98" s="68">
        <v>0</v>
      </c>
      <c r="J98" s="68">
        <v>0</v>
      </c>
      <c r="K98" s="141"/>
      <c r="L98" s="142">
        <v>0</v>
      </c>
      <c r="M98" s="62">
        <f t="shared" si="0"/>
        <v>37913</v>
      </c>
      <c r="N98" s="62">
        <f>ROUND((M98*0.2943),0)</f>
        <v>11158</v>
      </c>
      <c r="O98" s="113">
        <f>495</f>
        <v>495</v>
      </c>
      <c r="P98" s="62">
        <v>0</v>
      </c>
      <c r="Q98" s="62">
        <f t="shared" si="1"/>
        <v>550</v>
      </c>
      <c r="R98" s="119">
        <f>187</f>
        <v>187</v>
      </c>
      <c r="S98" s="62">
        <v>8310</v>
      </c>
      <c r="T98" s="62">
        <v>486</v>
      </c>
      <c r="U98" s="62">
        <f t="shared" si="2"/>
        <v>21186</v>
      </c>
      <c r="V98" s="62">
        <f t="shared" si="3"/>
        <v>59099</v>
      </c>
      <c r="W98" s="112"/>
      <c r="X98" s="112"/>
      <c r="Y98" s="112"/>
      <c r="Z98" s="112"/>
      <c r="AA98" s="112"/>
      <c r="AB98" s="112"/>
      <c r="AC98" s="112"/>
      <c r="AD98" s="112"/>
      <c r="AE98" s="112"/>
      <c r="AF98" s="112"/>
      <c r="AG98" s="112"/>
      <c r="AH98" s="112"/>
      <c r="AI98" s="112"/>
      <c r="AJ98" s="112"/>
      <c r="AK98" s="112"/>
      <c r="AL98" s="112"/>
      <c r="AM98" s="112"/>
      <c r="AN98" s="112"/>
      <c r="AO98" s="112"/>
      <c r="AP98" s="112"/>
      <c r="AQ98" s="112"/>
      <c r="AR98" s="112"/>
      <c r="AS98" s="112"/>
      <c r="AT98" s="112"/>
      <c r="AU98" s="112"/>
      <c r="AV98" s="112"/>
      <c r="AW98" s="112"/>
      <c r="AX98" s="112"/>
      <c r="AY98" s="112"/>
      <c r="AZ98" s="112"/>
      <c r="BA98" s="112"/>
      <c r="BB98" s="112"/>
      <c r="BC98" s="112"/>
      <c r="BD98" s="112"/>
      <c r="BE98" s="112"/>
      <c r="BF98" s="112"/>
    </row>
    <row r="99" spans="1:76">
      <c r="A99" s="110">
        <v>87</v>
      </c>
      <c r="B99" s="132">
        <v>3002</v>
      </c>
      <c r="C99" s="63" t="s">
        <v>128</v>
      </c>
      <c r="D99" s="76" t="s">
        <v>455</v>
      </c>
      <c r="E99" s="81" t="s">
        <v>417</v>
      </c>
      <c r="F99" s="99">
        <v>44243</v>
      </c>
      <c r="G99" s="63" t="s">
        <v>78</v>
      </c>
      <c r="H99" s="64">
        <v>32355</v>
      </c>
      <c r="I99" s="68">
        <v>0</v>
      </c>
      <c r="J99" s="68">
        <v>0</v>
      </c>
      <c r="K99" s="141"/>
      <c r="L99" s="142">
        <v>0</v>
      </c>
      <c r="M99" s="62">
        <f t="shared" si="0"/>
        <v>32355</v>
      </c>
      <c r="N99" s="62">
        <f>ROUND((M99*0.2943),0)</f>
        <v>9522</v>
      </c>
      <c r="O99" s="62">
        <v>495</v>
      </c>
      <c r="P99" s="62">
        <v>0</v>
      </c>
      <c r="Q99" s="62">
        <f t="shared" si="1"/>
        <v>469</v>
      </c>
      <c r="R99" s="62">
        <v>187</v>
      </c>
      <c r="S99" s="62">
        <v>13493</v>
      </c>
      <c r="T99" s="62">
        <v>404</v>
      </c>
      <c r="U99" s="62">
        <f t="shared" si="2"/>
        <v>24570</v>
      </c>
      <c r="V99" s="62">
        <f t="shared" si="3"/>
        <v>56925</v>
      </c>
      <c r="W99" s="112"/>
      <c r="X99" s="112"/>
      <c r="Y99" s="112"/>
      <c r="Z99" s="112"/>
      <c r="AA99" s="112"/>
      <c r="AB99" s="112"/>
      <c r="AC99" s="112"/>
      <c r="AD99" s="112"/>
      <c r="AE99" s="112"/>
      <c r="AF99" s="112"/>
      <c r="AG99" s="112"/>
      <c r="AH99" s="112"/>
      <c r="AI99" s="112"/>
      <c r="AJ99" s="112"/>
      <c r="AK99" s="112"/>
      <c r="AL99" s="112"/>
      <c r="AM99" s="112"/>
      <c r="AN99" s="112"/>
      <c r="AO99" s="112"/>
      <c r="AP99" s="112"/>
      <c r="AQ99" s="112"/>
      <c r="AR99" s="112"/>
      <c r="AS99" s="112"/>
      <c r="AT99" s="112"/>
      <c r="AU99" s="112"/>
      <c r="AV99" s="112"/>
      <c r="AW99" s="112"/>
      <c r="AX99" s="112"/>
      <c r="AY99" s="112"/>
      <c r="AZ99" s="112"/>
      <c r="BA99" s="112"/>
      <c r="BB99" s="112"/>
      <c r="BC99" s="112"/>
      <c r="BD99" s="112"/>
      <c r="BE99" s="112"/>
      <c r="BF99" s="112"/>
    </row>
    <row r="100" spans="1:76">
      <c r="A100" s="38">
        <v>88</v>
      </c>
      <c r="B100" s="58">
        <v>3003</v>
      </c>
      <c r="C100" s="89" t="s">
        <v>465</v>
      </c>
      <c r="D100" s="76" t="s">
        <v>464</v>
      </c>
      <c r="E100" s="81" t="s">
        <v>417</v>
      </c>
      <c r="F100" s="99">
        <v>44957</v>
      </c>
      <c r="G100" s="45" t="s">
        <v>69</v>
      </c>
      <c r="H100" s="64">
        <f>34886</f>
        <v>34886</v>
      </c>
      <c r="I100" s="68">
        <v>0</v>
      </c>
      <c r="J100" s="40">
        <v>0</v>
      </c>
      <c r="K100" s="164"/>
      <c r="L100" s="165">
        <v>0</v>
      </c>
      <c r="M100" s="44">
        <f t="shared" si="0"/>
        <v>34886</v>
      </c>
      <c r="N100" s="44">
        <f t="shared" ref="N100:N103" si="21">ROUND((M100*0.2943),0)</f>
        <v>10267</v>
      </c>
      <c r="O100" s="42">
        <f>495</f>
        <v>495</v>
      </c>
      <c r="P100" s="44">
        <v>0</v>
      </c>
      <c r="Q100" s="44">
        <f t="shared" si="1"/>
        <v>506</v>
      </c>
      <c r="R100" s="107">
        <f>187</f>
        <v>187</v>
      </c>
      <c r="S100" s="44">
        <v>0</v>
      </c>
      <c r="T100" s="44">
        <v>0</v>
      </c>
      <c r="U100" s="44">
        <f t="shared" si="2"/>
        <v>11455</v>
      </c>
      <c r="V100" s="44">
        <f t="shared" si="3"/>
        <v>46341</v>
      </c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5"/>
      <c r="BH100" s="5"/>
      <c r="BI100" s="5"/>
      <c r="BJ100" s="5"/>
      <c r="BK100" s="5"/>
      <c r="BL100" s="5"/>
      <c r="BM100" s="5"/>
      <c r="BN100" s="5"/>
      <c r="BO100" s="5"/>
      <c r="BP100" s="5"/>
      <c r="BQ100" s="5"/>
      <c r="BR100" s="5"/>
      <c r="BS100" s="5"/>
      <c r="BT100" s="5"/>
      <c r="BU100" s="5"/>
      <c r="BV100" s="5"/>
      <c r="BW100" s="5"/>
      <c r="BX100" s="5"/>
    </row>
    <row r="101" spans="1:76">
      <c r="A101" s="110">
        <v>89</v>
      </c>
      <c r="B101" s="63">
        <v>3004</v>
      </c>
      <c r="C101" s="63" t="s">
        <v>130</v>
      </c>
      <c r="D101" s="76" t="s">
        <v>92</v>
      </c>
      <c r="E101" s="81" t="s">
        <v>417</v>
      </c>
      <c r="F101" s="99"/>
      <c r="G101" s="63" t="s">
        <v>69</v>
      </c>
      <c r="H101" s="64">
        <v>0</v>
      </c>
      <c r="I101" s="68">
        <v>0</v>
      </c>
      <c r="J101" s="68">
        <v>0</v>
      </c>
      <c r="K101" s="141"/>
      <c r="L101" s="142">
        <v>0</v>
      </c>
      <c r="M101" s="62">
        <f t="shared" si="0"/>
        <v>0</v>
      </c>
      <c r="N101" s="62">
        <f t="shared" si="21"/>
        <v>0</v>
      </c>
      <c r="O101" s="113">
        <v>0</v>
      </c>
      <c r="P101" s="62">
        <v>0</v>
      </c>
      <c r="Q101" s="62">
        <f t="shared" si="1"/>
        <v>0</v>
      </c>
      <c r="R101" s="119">
        <v>0</v>
      </c>
      <c r="S101" s="62">
        <v>0</v>
      </c>
      <c r="T101" s="62">
        <v>0</v>
      </c>
      <c r="U101" s="62">
        <f t="shared" si="2"/>
        <v>0</v>
      </c>
      <c r="V101" s="62">
        <f t="shared" si="3"/>
        <v>0</v>
      </c>
      <c r="W101" s="112"/>
      <c r="X101" s="112"/>
      <c r="Y101" s="112"/>
      <c r="Z101" s="112"/>
      <c r="AA101" s="112"/>
      <c r="AB101" s="112"/>
      <c r="AC101" s="112"/>
      <c r="AD101" s="112"/>
      <c r="AE101" s="112"/>
      <c r="AF101" s="112"/>
      <c r="AG101" s="112"/>
      <c r="AH101" s="112"/>
      <c r="AI101" s="112"/>
      <c r="AJ101" s="112"/>
      <c r="AK101" s="112"/>
      <c r="AL101" s="112"/>
      <c r="AM101" s="112"/>
      <c r="AN101" s="112"/>
      <c r="AO101" s="112"/>
      <c r="AP101" s="112"/>
      <c r="AQ101" s="112"/>
      <c r="AR101" s="112"/>
      <c r="AS101" s="112"/>
      <c r="AT101" s="112"/>
      <c r="AU101" s="112"/>
      <c r="AV101" s="112"/>
      <c r="AW101" s="112"/>
      <c r="AX101" s="112"/>
      <c r="AY101" s="112"/>
      <c r="AZ101" s="112"/>
      <c r="BA101" s="112"/>
      <c r="BB101" s="112"/>
      <c r="BC101" s="112"/>
      <c r="BD101" s="112"/>
      <c r="BE101" s="112"/>
      <c r="BF101" s="112"/>
    </row>
    <row r="102" spans="1:76">
      <c r="A102" s="38">
        <v>90</v>
      </c>
      <c r="B102" s="132">
        <v>3005</v>
      </c>
      <c r="C102" s="63" t="s">
        <v>129</v>
      </c>
      <c r="D102" s="78" t="s">
        <v>463</v>
      </c>
      <c r="E102" s="81" t="s">
        <v>417</v>
      </c>
      <c r="F102" s="99"/>
      <c r="G102" s="45" t="s">
        <v>78</v>
      </c>
      <c r="H102" s="64">
        <f>32355</f>
        <v>32355</v>
      </c>
      <c r="I102" s="68">
        <v>0</v>
      </c>
      <c r="J102" s="40">
        <v>0</v>
      </c>
      <c r="K102" s="164"/>
      <c r="L102" s="165">
        <v>0</v>
      </c>
      <c r="M102" s="44">
        <f t="shared" si="0"/>
        <v>32355</v>
      </c>
      <c r="N102" s="44">
        <f t="shared" si="21"/>
        <v>9522</v>
      </c>
      <c r="O102" s="42">
        <f>495</f>
        <v>495</v>
      </c>
      <c r="P102" s="44">
        <v>0</v>
      </c>
      <c r="Q102" s="44">
        <f t="shared" si="1"/>
        <v>469</v>
      </c>
      <c r="R102" s="107">
        <f>187</f>
        <v>187</v>
      </c>
      <c r="S102" s="44">
        <v>8310</v>
      </c>
      <c r="T102" s="44">
        <v>486</v>
      </c>
      <c r="U102" s="44">
        <f t="shared" si="2"/>
        <v>19469</v>
      </c>
      <c r="V102" s="44">
        <f t="shared" si="3"/>
        <v>51824</v>
      </c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5"/>
      <c r="BH102" s="5"/>
      <c r="BI102" s="5"/>
      <c r="BJ102" s="5"/>
      <c r="BK102" s="5"/>
      <c r="BL102" s="5"/>
      <c r="BM102" s="5"/>
      <c r="BN102" s="5"/>
      <c r="BO102" s="5"/>
      <c r="BP102" s="5"/>
      <c r="BQ102" s="5"/>
      <c r="BR102" s="5"/>
      <c r="BS102" s="5"/>
      <c r="BT102" s="5"/>
      <c r="BU102" s="5"/>
      <c r="BV102" s="5"/>
      <c r="BW102" s="5"/>
      <c r="BX102" s="5"/>
    </row>
    <row r="103" spans="1:76">
      <c r="A103" s="38">
        <v>91</v>
      </c>
      <c r="B103" s="63">
        <v>3006</v>
      </c>
      <c r="C103" s="63" t="s">
        <v>129</v>
      </c>
      <c r="D103" s="78" t="s">
        <v>463</v>
      </c>
      <c r="E103" s="81" t="s">
        <v>417</v>
      </c>
      <c r="F103" s="99"/>
      <c r="G103" s="45" t="s">
        <v>78</v>
      </c>
      <c r="H103" s="64">
        <f>32355</f>
        <v>32355</v>
      </c>
      <c r="I103" s="68">
        <v>0</v>
      </c>
      <c r="J103" s="40">
        <v>0</v>
      </c>
      <c r="K103" s="164"/>
      <c r="L103" s="165">
        <v>0</v>
      </c>
      <c r="M103" s="44">
        <f t="shared" si="0"/>
        <v>32355</v>
      </c>
      <c r="N103" s="44">
        <f t="shared" si="21"/>
        <v>9522</v>
      </c>
      <c r="O103" s="42">
        <f>495</f>
        <v>495</v>
      </c>
      <c r="P103" s="44">
        <v>0</v>
      </c>
      <c r="Q103" s="44">
        <f t="shared" si="1"/>
        <v>469</v>
      </c>
      <c r="R103" s="107">
        <f>187</f>
        <v>187</v>
      </c>
      <c r="S103" s="44">
        <v>8310</v>
      </c>
      <c r="T103" s="44">
        <v>486</v>
      </c>
      <c r="U103" s="44">
        <f t="shared" si="2"/>
        <v>19469</v>
      </c>
      <c r="V103" s="44">
        <f t="shared" si="3"/>
        <v>51824</v>
      </c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5"/>
      <c r="BH103" s="5"/>
      <c r="BI103" s="5"/>
      <c r="BJ103" s="5"/>
      <c r="BK103" s="5"/>
      <c r="BL103" s="5"/>
      <c r="BM103" s="5"/>
      <c r="BN103" s="5"/>
      <c r="BO103" s="5"/>
      <c r="BP103" s="5"/>
      <c r="BQ103" s="5"/>
      <c r="BR103" s="5"/>
      <c r="BS103" s="5"/>
      <c r="BT103" s="5"/>
      <c r="BU103" s="5"/>
      <c r="BV103" s="5"/>
      <c r="BW103" s="5"/>
      <c r="BX103" s="5"/>
    </row>
    <row r="104" spans="1:76">
      <c r="A104" s="38">
        <v>92</v>
      </c>
      <c r="B104" s="133" t="s">
        <v>133</v>
      </c>
      <c r="C104" s="134" t="s">
        <v>134</v>
      </c>
      <c r="D104" s="76" t="s">
        <v>92</v>
      </c>
      <c r="E104" s="81"/>
      <c r="F104" s="99"/>
      <c r="G104" s="45" t="s">
        <v>135</v>
      </c>
      <c r="H104" s="64">
        <v>0</v>
      </c>
      <c r="I104" s="68">
        <v>0</v>
      </c>
      <c r="J104" s="40">
        <v>0</v>
      </c>
      <c r="K104" s="164"/>
      <c r="L104" s="165">
        <v>0</v>
      </c>
      <c r="M104" s="44">
        <f t="shared" si="0"/>
        <v>0</v>
      </c>
      <c r="N104" s="44">
        <f>ROUND((M104*0.2943),0)</f>
        <v>0</v>
      </c>
      <c r="O104" s="44">
        <v>0</v>
      </c>
      <c r="P104" s="44">
        <v>0</v>
      </c>
      <c r="Q104" s="44">
        <f t="shared" si="1"/>
        <v>0</v>
      </c>
      <c r="R104" s="44">
        <v>0</v>
      </c>
      <c r="S104" s="44">
        <v>0</v>
      </c>
      <c r="T104" s="44">
        <v>0</v>
      </c>
      <c r="U104" s="44">
        <f t="shared" si="2"/>
        <v>0</v>
      </c>
      <c r="V104" s="44">
        <f t="shared" si="3"/>
        <v>0</v>
      </c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5"/>
      <c r="BH104" s="5"/>
      <c r="BI104" s="5"/>
      <c r="BJ104" s="5"/>
      <c r="BK104" s="5"/>
      <c r="BL104" s="5"/>
      <c r="BM104" s="5"/>
      <c r="BN104" s="5"/>
      <c r="BO104" s="5"/>
      <c r="BP104" s="5"/>
      <c r="BQ104" s="5"/>
      <c r="BR104" s="5"/>
      <c r="BS104" s="5"/>
      <c r="BT104" s="5"/>
      <c r="BU104" s="5"/>
      <c r="BV104" s="5"/>
      <c r="BW104" s="5"/>
      <c r="BX104" s="5"/>
    </row>
    <row r="105" spans="1:76">
      <c r="A105" s="110">
        <v>93</v>
      </c>
      <c r="B105" s="135" t="s">
        <v>136</v>
      </c>
      <c r="C105" s="136" t="s">
        <v>137</v>
      </c>
      <c r="D105" s="137" t="s">
        <v>138</v>
      </c>
      <c r="E105" s="95" t="s">
        <v>417</v>
      </c>
      <c r="F105" s="97">
        <v>29737</v>
      </c>
      <c r="G105" s="155" t="s">
        <v>491</v>
      </c>
      <c r="H105" s="64">
        <v>107826</v>
      </c>
      <c r="I105" s="68">
        <v>0</v>
      </c>
      <c r="J105" s="68">
        <v>0</v>
      </c>
      <c r="K105" s="141">
        <v>46260</v>
      </c>
      <c r="L105" s="142">
        <f>570/4</f>
        <v>142.5</v>
      </c>
      <c r="M105" s="62">
        <f t="shared" si="0"/>
        <v>107968.5</v>
      </c>
      <c r="N105" s="62">
        <f>ROUND((M105*0.2943),0)</f>
        <v>31775</v>
      </c>
      <c r="O105" s="62">
        <v>0</v>
      </c>
      <c r="P105" s="62">
        <v>0</v>
      </c>
      <c r="Q105" s="62">
        <f t="shared" si="1"/>
        <v>1566</v>
      </c>
      <c r="R105" s="119">
        <f>187</f>
        <v>187</v>
      </c>
      <c r="S105" s="62">
        <v>4801</v>
      </c>
      <c r="T105" s="62">
        <v>342</v>
      </c>
      <c r="U105" s="62">
        <f t="shared" si="2"/>
        <v>38671</v>
      </c>
      <c r="V105" s="62">
        <f t="shared" si="3"/>
        <v>146639.5</v>
      </c>
      <c r="W105" s="112"/>
      <c r="X105" s="112"/>
      <c r="Y105" s="112"/>
      <c r="Z105" s="112"/>
      <c r="AA105" s="112"/>
      <c r="AB105" s="112"/>
      <c r="AC105" s="112"/>
      <c r="AD105" s="112"/>
      <c r="AE105" s="112"/>
      <c r="AF105" s="112"/>
      <c r="AG105" s="112"/>
      <c r="AH105" s="112"/>
      <c r="AI105" s="112"/>
      <c r="AJ105" s="112"/>
      <c r="AK105" s="112"/>
      <c r="AL105" s="112"/>
      <c r="AM105" s="112"/>
      <c r="AN105" s="112"/>
      <c r="AO105" s="112"/>
      <c r="AP105" s="112"/>
      <c r="AQ105" s="112"/>
      <c r="AR105" s="112"/>
      <c r="AS105" s="112"/>
      <c r="AT105" s="112"/>
      <c r="AU105" s="112"/>
      <c r="AV105" s="112"/>
      <c r="AW105" s="112"/>
      <c r="AX105" s="112"/>
      <c r="AY105" s="112"/>
      <c r="AZ105" s="112"/>
      <c r="BA105" s="112"/>
      <c r="BB105" s="112"/>
      <c r="BC105" s="112"/>
      <c r="BD105" s="112"/>
      <c r="BE105" s="112"/>
      <c r="BF105" s="112"/>
    </row>
    <row r="106" spans="1:76" ht="21.75">
      <c r="A106" s="38">
        <v>94</v>
      </c>
      <c r="B106" s="80" t="s">
        <v>139</v>
      </c>
      <c r="C106" s="39" t="s">
        <v>140</v>
      </c>
      <c r="D106" s="138" t="s">
        <v>141</v>
      </c>
      <c r="E106" s="139" t="s">
        <v>423</v>
      </c>
      <c r="F106" s="98">
        <v>38817</v>
      </c>
      <c r="G106" s="45" t="s">
        <v>67</v>
      </c>
      <c r="H106" s="64">
        <v>86219</v>
      </c>
      <c r="I106" s="68">
        <v>0</v>
      </c>
      <c r="J106" s="40">
        <v>0</v>
      </c>
      <c r="K106" s="164">
        <v>46096</v>
      </c>
      <c r="L106" s="165">
        <f>1597/4</f>
        <v>399.25</v>
      </c>
      <c r="M106" s="44">
        <f t="shared" si="0"/>
        <v>86618.25</v>
      </c>
      <c r="N106" s="44">
        <f>ROUND((M106*0.2943),0)</f>
        <v>25492</v>
      </c>
      <c r="O106" s="42">
        <f>495</f>
        <v>495</v>
      </c>
      <c r="P106" s="44">
        <v>0</v>
      </c>
      <c r="Q106" s="44">
        <f t="shared" si="1"/>
        <v>1256</v>
      </c>
      <c r="R106" s="107">
        <f>187</f>
        <v>187</v>
      </c>
      <c r="S106" s="44">
        <v>21918</v>
      </c>
      <c r="T106" s="44">
        <v>653</v>
      </c>
      <c r="U106" s="44">
        <f t="shared" si="2"/>
        <v>50001</v>
      </c>
      <c r="V106" s="44">
        <f t="shared" si="3"/>
        <v>136619.25</v>
      </c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5"/>
      <c r="BH106" s="5"/>
      <c r="BI106" s="5"/>
      <c r="BJ106" s="5"/>
      <c r="BK106" s="5"/>
      <c r="BL106" s="5"/>
      <c r="BM106" s="5"/>
      <c r="BN106" s="5"/>
      <c r="BO106" s="5"/>
      <c r="BP106" s="5"/>
      <c r="BQ106" s="5"/>
      <c r="BR106" s="5"/>
      <c r="BS106" s="5"/>
      <c r="BT106" s="5"/>
      <c r="BU106" s="5"/>
      <c r="BV106" s="5"/>
      <c r="BW106" s="5"/>
      <c r="BX106" s="5"/>
    </row>
    <row r="107" spans="1:76">
      <c r="A107" s="38">
        <v>95</v>
      </c>
      <c r="B107" s="50" t="s">
        <v>142</v>
      </c>
      <c r="C107" s="45" t="s">
        <v>451</v>
      </c>
      <c r="D107" s="76" t="s">
        <v>346</v>
      </c>
      <c r="E107" s="81" t="s">
        <v>417</v>
      </c>
      <c r="F107" s="99">
        <v>45313</v>
      </c>
      <c r="G107" s="45" t="s">
        <v>93</v>
      </c>
      <c r="H107" s="64">
        <v>41372</v>
      </c>
      <c r="I107" s="68">
        <v>0</v>
      </c>
      <c r="J107" s="40">
        <v>0</v>
      </c>
      <c r="K107" s="164">
        <v>45965</v>
      </c>
      <c r="L107" s="165">
        <f>1437/4</f>
        <v>359.25</v>
      </c>
      <c r="M107" s="44">
        <f t="shared" si="0"/>
        <v>41731.25</v>
      </c>
      <c r="N107" s="44">
        <f t="shared" ref="N107" si="22">ROUND((M107*0.2943),0)</f>
        <v>12282</v>
      </c>
      <c r="O107" s="44">
        <v>0</v>
      </c>
      <c r="P107" s="44">
        <v>0</v>
      </c>
      <c r="Q107" s="44">
        <f t="shared" si="1"/>
        <v>605</v>
      </c>
      <c r="R107" s="44">
        <v>0</v>
      </c>
      <c r="S107" s="44">
        <v>4801</v>
      </c>
      <c r="T107" s="44">
        <v>342</v>
      </c>
      <c r="U107" s="44">
        <f t="shared" si="2"/>
        <v>18030</v>
      </c>
      <c r="V107" s="44">
        <f t="shared" si="3"/>
        <v>59761.25</v>
      </c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5"/>
      <c r="BH107" s="5"/>
      <c r="BI107" s="5"/>
      <c r="BJ107" s="5"/>
      <c r="BK107" s="5"/>
      <c r="BL107" s="5"/>
      <c r="BM107" s="5"/>
      <c r="BN107" s="5"/>
      <c r="BO107" s="5"/>
      <c r="BP107" s="5"/>
      <c r="BQ107" s="5"/>
      <c r="BR107" s="5"/>
      <c r="BS107" s="5"/>
      <c r="BT107" s="5"/>
      <c r="BU107" s="5"/>
      <c r="BV107" s="5"/>
      <c r="BW107" s="5"/>
      <c r="BX107" s="5"/>
    </row>
    <row r="108" spans="1:76">
      <c r="A108" s="38">
        <v>96</v>
      </c>
      <c r="B108" s="50" t="s">
        <v>145</v>
      </c>
      <c r="C108" s="45" t="s">
        <v>146</v>
      </c>
      <c r="D108" s="76" t="s">
        <v>92</v>
      </c>
      <c r="E108" s="81"/>
      <c r="F108" s="99"/>
      <c r="G108" s="45" t="s">
        <v>147</v>
      </c>
      <c r="H108" s="64">
        <v>0</v>
      </c>
      <c r="I108" s="68">
        <v>0</v>
      </c>
      <c r="J108" s="40">
        <v>0</v>
      </c>
      <c r="K108" s="164" t="s">
        <v>144</v>
      </c>
      <c r="L108" s="165">
        <v>0</v>
      </c>
      <c r="M108" s="44">
        <f t="shared" si="0"/>
        <v>0</v>
      </c>
      <c r="N108" s="44">
        <f t="shared" ref="N108:N123" si="23">ROUND((M108*0.2943),0)</f>
        <v>0</v>
      </c>
      <c r="O108" s="44">
        <v>0</v>
      </c>
      <c r="P108" s="44">
        <v>0</v>
      </c>
      <c r="Q108" s="44">
        <f t="shared" si="1"/>
        <v>0</v>
      </c>
      <c r="R108" s="44">
        <v>0</v>
      </c>
      <c r="S108" s="44">
        <v>0</v>
      </c>
      <c r="T108" s="44">
        <v>0</v>
      </c>
      <c r="U108" s="44">
        <f t="shared" si="2"/>
        <v>0</v>
      </c>
      <c r="V108" s="44">
        <f t="shared" si="3"/>
        <v>0</v>
      </c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5"/>
      <c r="BH108" s="5"/>
      <c r="BI108" s="5"/>
      <c r="BJ108" s="5"/>
      <c r="BK108" s="5"/>
      <c r="BL108" s="5"/>
      <c r="BM108" s="5"/>
      <c r="BN108" s="5"/>
      <c r="BO108" s="5"/>
      <c r="BP108" s="5"/>
      <c r="BQ108" s="5"/>
      <c r="BR108" s="5"/>
      <c r="BS108" s="5"/>
      <c r="BT108" s="5"/>
      <c r="BU108" s="5"/>
      <c r="BV108" s="5"/>
      <c r="BW108" s="5"/>
      <c r="BX108" s="5"/>
    </row>
    <row r="109" spans="1:76">
      <c r="A109" s="110">
        <v>97</v>
      </c>
      <c r="B109" s="70" t="s">
        <v>148</v>
      </c>
      <c r="C109" s="63" t="s">
        <v>149</v>
      </c>
      <c r="D109" s="76" t="s">
        <v>150</v>
      </c>
      <c r="E109" s="81" t="s">
        <v>417</v>
      </c>
      <c r="F109" s="99">
        <v>25870</v>
      </c>
      <c r="G109" s="63" t="s">
        <v>151</v>
      </c>
      <c r="H109" s="64">
        <v>65357</v>
      </c>
      <c r="I109" s="68">
        <v>0</v>
      </c>
      <c r="J109" s="68">
        <v>0</v>
      </c>
      <c r="K109" s="141">
        <v>45940</v>
      </c>
      <c r="L109" s="142">
        <v>0</v>
      </c>
      <c r="M109" s="62">
        <f t="shared" si="0"/>
        <v>65357</v>
      </c>
      <c r="N109" s="62">
        <f t="shared" si="23"/>
        <v>19235</v>
      </c>
      <c r="O109" s="113">
        <f>495</f>
        <v>495</v>
      </c>
      <c r="P109" s="62">
        <v>0</v>
      </c>
      <c r="Q109" s="62">
        <f t="shared" si="1"/>
        <v>948</v>
      </c>
      <c r="R109" s="119">
        <f>187</f>
        <v>187</v>
      </c>
      <c r="S109" s="62">
        <v>4801</v>
      </c>
      <c r="T109" s="62">
        <v>342</v>
      </c>
      <c r="U109" s="62">
        <f t="shared" si="2"/>
        <v>26008</v>
      </c>
      <c r="V109" s="62">
        <f t="shared" si="3"/>
        <v>91365</v>
      </c>
      <c r="W109" s="112"/>
      <c r="X109" s="112"/>
      <c r="Y109" s="112"/>
      <c r="Z109" s="112"/>
      <c r="AA109" s="112"/>
      <c r="AB109" s="112"/>
      <c r="AC109" s="112"/>
      <c r="AD109" s="112"/>
      <c r="AE109" s="112"/>
      <c r="AF109" s="112"/>
      <c r="AG109" s="112"/>
      <c r="AH109" s="112"/>
      <c r="AI109" s="112"/>
      <c r="AJ109" s="112"/>
      <c r="AK109" s="112"/>
      <c r="AL109" s="112"/>
      <c r="AM109" s="112"/>
      <c r="AN109" s="112"/>
      <c r="AO109" s="112"/>
      <c r="AP109" s="112"/>
      <c r="AQ109" s="112"/>
      <c r="AR109" s="112"/>
      <c r="AS109" s="112"/>
      <c r="AT109" s="112"/>
      <c r="AU109" s="112"/>
      <c r="AV109" s="112"/>
      <c r="AW109" s="112"/>
      <c r="AX109" s="112"/>
      <c r="AY109" s="112"/>
      <c r="AZ109" s="112"/>
      <c r="BA109" s="112"/>
      <c r="BB109" s="112"/>
      <c r="BC109" s="112"/>
      <c r="BD109" s="112"/>
      <c r="BE109" s="112"/>
      <c r="BF109" s="112"/>
    </row>
    <row r="110" spans="1:76">
      <c r="A110" s="38">
        <v>98</v>
      </c>
      <c r="B110" s="50" t="s">
        <v>152</v>
      </c>
      <c r="C110" s="45" t="s">
        <v>149</v>
      </c>
      <c r="D110" s="76" t="s">
        <v>153</v>
      </c>
      <c r="E110" s="81" t="s">
        <v>417</v>
      </c>
      <c r="F110" s="99">
        <v>39941</v>
      </c>
      <c r="G110" s="45" t="s">
        <v>492</v>
      </c>
      <c r="H110" s="64">
        <v>43608</v>
      </c>
      <c r="I110" s="68">
        <v>0</v>
      </c>
      <c r="J110" s="40">
        <v>0</v>
      </c>
      <c r="K110" s="164">
        <v>46149</v>
      </c>
      <c r="L110" s="165">
        <f>577/4</f>
        <v>144.25</v>
      </c>
      <c r="M110" s="44">
        <f t="shared" si="0"/>
        <v>43752.25</v>
      </c>
      <c r="N110" s="44">
        <f t="shared" si="23"/>
        <v>12876</v>
      </c>
      <c r="O110" s="42">
        <f>495</f>
        <v>495</v>
      </c>
      <c r="P110" s="44">
        <v>0</v>
      </c>
      <c r="Q110" s="44">
        <f t="shared" si="1"/>
        <v>634</v>
      </c>
      <c r="R110" s="107">
        <f>187</f>
        <v>187</v>
      </c>
      <c r="S110" s="44">
        <v>8551</v>
      </c>
      <c r="T110" s="44">
        <v>342</v>
      </c>
      <c r="U110" s="44">
        <f t="shared" si="2"/>
        <v>23085</v>
      </c>
      <c r="V110" s="44">
        <f t="shared" si="3"/>
        <v>66837.25</v>
      </c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5"/>
      <c r="BH110" s="5"/>
      <c r="BI110" s="5"/>
      <c r="BJ110" s="5"/>
      <c r="BK110" s="5"/>
      <c r="BL110" s="5"/>
      <c r="BM110" s="5"/>
      <c r="BN110" s="5"/>
      <c r="BO110" s="5"/>
      <c r="BP110" s="5"/>
      <c r="BQ110" s="5"/>
      <c r="BR110" s="5"/>
      <c r="BS110" s="5"/>
      <c r="BT110" s="5"/>
      <c r="BU110" s="5"/>
      <c r="BV110" s="5"/>
      <c r="BW110" s="5"/>
      <c r="BX110" s="5"/>
    </row>
    <row r="111" spans="1:76">
      <c r="A111" s="38">
        <v>99</v>
      </c>
      <c r="B111" s="50" t="s">
        <v>154</v>
      </c>
      <c r="C111" s="45" t="s">
        <v>155</v>
      </c>
      <c r="D111" s="76" t="s">
        <v>156</v>
      </c>
      <c r="E111" s="81" t="s">
        <v>417</v>
      </c>
      <c r="F111" s="99">
        <v>43503</v>
      </c>
      <c r="G111" s="45" t="s">
        <v>157</v>
      </c>
      <c r="H111" s="64">
        <f>28269</f>
        <v>28269</v>
      </c>
      <c r="I111" s="68">
        <v>0</v>
      </c>
      <c r="J111" s="40">
        <v>0</v>
      </c>
      <c r="K111" s="164"/>
      <c r="L111" s="165">
        <v>0</v>
      </c>
      <c r="M111" s="44">
        <f t="shared" si="0"/>
        <v>28269</v>
      </c>
      <c r="N111" s="44">
        <f t="shared" si="23"/>
        <v>8320</v>
      </c>
      <c r="O111" s="42">
        <f>495</f>
        <v>495</v>
      </c>
      <c r="P111" s="44">
        <v>0</v>
      </c>
      <c r="Q111" s="44">
        <f t="shared" si="1"/>
        <v>410</v>
      </c>
      <c r="R111" s="107">
        <f>187</f>
        <v>187</v>
      </c>
      <c r="S111" s="44">
        <v>0</v>
      </c>
      <c r="T111" s="44">
        <v>0</v>
      </c>
      <c r="U111" s="44">
        <f t="shared" si="2"/>
        <v>9412</v>
      </c>
      <c r="V111" s="44">
        <f t="shared" si="3"/>
        <v>37681</v>
      </c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5"/>
      <c r="BH111" s="5"/>
      <c r="BI111" s="5"/>
      <c r="BJ111" s="5"/>
      <c r="BK111" s="5"/>
      <c r="BL111" s="5"/>
      <c r="BM111" s="5"/>
      <c r="BN111" s="5"/>
      <c r="BO111" s="5"/>
      <c r="BP111" s="5"/>
      <c r="BQ111" s="5"/>
      <c r="BR111" s="5"/>
      <c r="BS111" s="5"/>
      <c r="BT111" s="5"/>
      <c r="BU111" s="5"/>
      <c r="BV111" s="5"/>
      <c r="BW111" s="5"/>
      <c r="BX111" s="5"/>
    </row>
    <row r="112" spans="1:76" ht="21.75">
      <c r="A112" s="110">
        <v>100</v>
      </c>
      <c r="B112" s="70" t="s">
        <v>158</v>
      </c>
      <c r="C112" s="63" t="s">
        <v>149</v>
      </c>
      <c r="D112" s="76" t="s">
        <v>159</v>
      </c>
      <c r="E112" s="81" t="s">
        <v>424</v>
      </c>
      <c r="F112" s="99">
        <v>44161</v>
      </c>
      <c r="G112" s="63" t="s">
        <v>69</v>
      </c>
      <c r="H112" s="64">
        <v>34881.599999999999</v>
      </c>
      <c r="I112" s="68">
        <v>0</v>
      </c>
      <c r="J112" s="68">
        <v>0</v>
      </c>
      <c r="K112" s="141">
        <v>46098</v>
      </c>
      <c r="L112" s="142">
        <f>772/4</f>
        <v>193</v>
      </c>
      <c r="M112" s="62">
        <f t="shared" si="0"/>
        <v>35074.6</v>
      </c>
      <c r="N112" s="62">
        <f t="shared" si="23"/>
        <v>10322</v>
      </c>
      <c r="O112" s="113">
        <f>495</f>
        <v>495</v>
      </c>
      <c r="P112" s="62">
        <v>0</v>
      </c>
      <c r="Q112" s="62">
        <f t="shared" si="1"/>
        <v>509</v>
      </c>
      <c r="R112" s="119">
        <f>187</f>
        <v>187</v>
      </c>
      <c r="S112" s="62">
        <v>4801</v>
      </c>
      <c r="T112" s="62">
        <v>342</v>
      </c>
      <c r="U112" s="62">
        <f t="shared" si="2"/>
        <v>16656</v>
      </c>
      <c r="V112" s="62">
        <f t="shared" si="3"/>
        <v>51730.6</v>
      </c>
      <c r="W112" s="112"/>
      <c r="X112" s="112"/>
      <c r="Y112" s="112"/>
      <c r="Z112" s="112"/>
      <c r="AA112" s="112"/>
      <c r="AB112" s="112"/>
      <c r="AC112" s="112"/>
      <c r="AD112" s="112"/>
      <c r="AE112" s="112"/>
      <c r="AF112" s="112"/>
      <c r="AG112" s="112"/>
      <c r="AH112" s="112"/>
      <c r="AI112" s="112"/>
      <c r="AJ112" s="112"/>
      <c r="AK112" s="112"/>
      <c r="AL112" s="112"/>
      <c r="AM112" s="112"/>
      <c r="AN112" s="112"/>
      <c r="AO112" s="112"/>
      <c r="AP112" s="112"/>
      <c r="AQ112" s="112"/>
      <c r="AR112" s="112"/>
      <c r="AS112" s="112"/>
      <c r="AT112" s="112"/>
      <c r="AU112" s="112"/>
      <c r="AV112" s="112"/>
      <c r="AW112" s="112"/>
      <c r="AX112" s="112"/>
      <c r="AY112" s="112"/>
      <c r="AZ112" s="112"/>
      <c r="BA112" s="112"/>
      <c r="BB112" s="112"/>
      <c r="BC112" s="112"/>
      <c r="BD112" s="112"/>
      <c r="BE112" s="112"/>
      <c r="BF112" s="112"/>
    </row>
    <row r="113" spans="1:76">
      <c r="A113" s="38">
        <v>101</v>
      </c>
      <c r="B113" s="50" t="s">
        <v>160</v>
      </c>
      <c r="C113" s="45" t="s">
        <v>161</v>
      </c>
      <c r="D113" s="76" t="s">
        <v>92</v>
      </c>
      <c r="E113" s="81"/>
      <c r="F113" s="99"/>
      <c r="G113" s="45" t="s">
        <v>162</v>
      </c>
      <c r="H113" s="64">
        <v>0</v>
      </c>
      <c r="I113" s="68">
        <v>0</v>
      </c>
      <c r="J113" s="40">
        <v>0</v>
      </c>
      <c r="K113" s="164"/>
      <c r="L113" s="165">
        <v>0</v>
      </c>
      <c r="M113" s="44">
        <f t="shared" si="0"/>
        <v>0</v>
      </c>
      <c r="N113" s="44">
        <f t="shared" si="23"/>
        <v>0</v>
      </c>
      <c r="O113" s="44">
        <v>0</v>
      </c>
      <c r="P113" s="44">
        <v>0</v>
      </c>
      <c r="Q113" s="44">
        <f t="shared" si="1"/>
        <v>0</v>
      </c>
      <c r="R113" s="44">
        <v>0</v>
      </c>
      <c r="S113" s="44">
        <v>0</v>
      </c>
      <c r="T113" s="44">
        <v>0</v>
      </c>
      <c r="U113" s="44">
        <f t="shared" si="2"/>
        <v>0</v>
      </c>
      <c r="V113" s="44">
        <f t="shared" si="3"/>
        <v>0</v>
      </c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5"/>
      <c r="BH113" s="5"/>
      <c r="BI113" s="5"/>
      <c r="BJ113" s="5"/>
      <c r="BK113" s="5"/>
      <c r="BL113" s="5"/>
      <c r="BM113" s="5"/>
      <c r="BN113" s="5"/>
      <c r="BO113" s="5"/>
      <c r="BP113" s="5"/>
      <c r="BQ113" s="5"/>
      <c r="BR113" s="5"/>
      <c r="BS113" s="5"/>
      <c r="BT113" s="5"/>
      <c r="BU113" s="5"/>
      <c r="BV113" s="5"/>
      <c r="BW113" s="5"/>
      <c r="BX113" s="5"/>
    </row>
    <row r="114" spans="1:76">
      <c r="A114" s="38">
        <v>102</v>
      </c>
      <c r="B114" s="50" t="s">
        <v>163</v>
      </c>
      <c r="C114" s="45" t="s">
        <v>146</v>
      </c>
      <c r="D114" s="76" t="s">
        <v>92</v>
      </c>
      <c r="E114" s="81"/>
      <c r="F114" s="99"/>
      <c r="G114" s="45" t="s">
        <v>147</v>
      </c>
      <c r="H114" s="64">
        <v>0</v>
      </c>
      <c r="I114" s="68">
        <v>0</v>
      </c>
      <c r="J114" s="40">
        <v>0</v>
      </c>
      <c r="K114" s="164"/>
      <c r="L114" s="165">
        <v>0</v>
      </c>
      <c r="M114" s="44">
        <f t="shared" si="0"/>
        <v>0</v>
      </c>
      <c r="N114" s="44">
        <f t="shared" si="23"/>
        <v>0</v>
      </c>
      <c r="O114" s="44">
        <v>0</v>
      </c>
      <c r="P114" s="44">
        <v>0</v>
      </c>
      <c r="Q114" s="44">
        <f t="shared" si="1"/>
        <v>0</v>
      </c>
      <c r="R114" s="44">
        <v>0</v>
      </c>
      <c r="S114" s="44">
        <v>0</v>
      </c>
      <c r="T114" s="44">
        <v>0</v>
      </c>
      <c r="U114" s="44">
        <f t="shared" si="2"/>
        <v>0</v>
      </c>
      <c r="V114" s="44">
        <f t="shared" si="3"/>
        <v>0</v>
      </c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5"/>
      <c r="BH114" s="5"/>
      <c r="BI114" s="5"/>
      <c r="BJ114" s="5"/>
      <c r="BK114" s="5"/>
      <c r="BL114" s="5"/>
      <c r="BM114" s="5"/>
      <c r="BN114" s="5"/>
      <c r="BO114" s="5"/>
      <c r="BP114" s="5"/>
      <c r="BQ114" s="5"/>
      <c r="BR114" s="5"/>
      <c r="BS114" s="5"/>
      <c r="BT114" s="5"/>
      <c r="BU114" s="5"/>
      <c r="BV114" s="5"/>
      <c r="BW114" s="5"/>
      <c r="BX114" s="5"/>
    </row>
    <row r="115" spans="1:76">
      <c r="A115" s="38">
        <v>103</v>
      </c>
      <c r="B115" s="50" t="s">
        <v>164</v>
      </c>
      <c r="C115" s="45" t="s">
        <v>149</v>
      </c>
      <c r="D115" s="76" t="s">
        <v>256</v>
      </c>
      <c r="E115" s="81" t="s">
        <v>417</v>
      </c>
      <c r="F115" s="99">
        <v>41218</v>
      </c>
      <c r="G115" s="45" t="s">
        <v>493</v>
      </c>
      <c r="H115" s="64">
        <v>43608</v>
      </c>
      <c r="I115" s="68">
        <v>0</v>
      </c>
      <c r="J115" s="40">
        <v>0</v>
      </c>
      <c r="K115" s="164">
        <v>46083</v>
      </c>
      <c r="L115" s="165">
        <f>807/4</f>
        <v>201.75</v>
      </c>
      <c r="M115" s="44">
        <f t="shared" si="0"/>
        <v>43809.75</v>
      </c>
      <c r="N115" s="44">
        <f>ROUND((M115*0.2943),0)</f>
        <v>12893</v>
      </c>
      <c r="O115" s="42">
        <f>495</f>
        <v>495</v>
      </c>
      <c r="P115" s="44">
        <v>0</v>
      </c>
      <c r="Q115" s="44">
        <f t="shared" si="1"/>
        <v>635</v>
      </c>
      <c r="R115" s="107">
        <f>187</f>
        <v>187</v>
      </c>
      <c r="S115" s="44">
        <v>0</v>
      </c>
      <c r="T115" s="44">
        <v>486</v>
      </c>
      <c r="U115" s="44">
        <f t="shared" si="2"/>
        <v>14696</v>
      </c>
      <c r="V115" s="44">
        <f t="shared" si="3"/>
        <v>58505.75</v>
      </c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5"/>
      <c r="BH115" s="5"/>
      <c r="BI115" s="5"/>
      <c r="BJ115" s="5"/>
      <c r="BK115" s="5"/>
      <c r="BL115" s="5"/>
      <c r="BM115" s="5"/>
      <c r="BN115" s="5"/>
      <c r="BO115" s="5"/>
      <c r="BP115" s="5"/>
      <c r="BQ115" s="5"/>
      <c r="BR115" s="5"/>
      <c r="BS115" s="5"/>
      <c r="BT115" s="5"/>
      <c r="BU115" s="5"/>
      <c r="BV115" s="5"/>
      <c r="BW115" s="5"/>
      <c r="BX115" s="5"/>
    </row>
    <row r="116" spans="1:76">
      <c r="A116" s="38">
        <v>104</v>
      </c>
      <c r="B116" s="50" t="s">
        <v>165</v>
      </c>
      <c r="C116" s="45" t="s">
        <v>166</v>
      </c>
      <c r="D116" s="76" t="s">
        <v>92</v>
      </c>
      <c r="E116" s="81"/>
      <c r="F116" s="99"/>
      <c r="G116" s="45" t="s">
        <v>167</v>
      </c>
      <c r="H116" s="64">
        <v>0</v>
      </c>
      <c r="I116" s="68">
        <v>0</v>
      </c>
      <c r="J116" s="40">
        <v>0</v>
      </c>
      <c r="K116" s="164"/>
      <c r="L116" s="165">
        <v>0</v>
      </c>
      <c r="M116" s="44">
        <f t="shared" si="0"/>
        <v>0</v>
      </c>
      <c r="N116" s="44">
        <f t="shared" si="23"/>
        <v>0</v>
      </c>
      <c r="O116" s="44">
        <v>0</v>
      </c>
      <c r="P116" s="44">
        <v>0</v>
      </c>
      <c r="Q116" s="44">
        <f t="shared" si="1"/>
        <v>0</v>
      </c>
      <c r="R116" s="44">
        <v>0</v>
      </c>
      <c r="S116" s="44">
        <v>0</v>
      </c>
      <c r="T116" s="44">
        <v>0</v>
      </c>
      <c r="U116" s="44">
        <f t="shared" si="2"/>
        <v>0</v>
      </c>
      <c r="V116" s="44">
        <f t="shared" si="3"/>
        <v>0</v>
      </c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5"/>
      <c r="BH116" s="5"/>
      <c r="BI116" s="5"/>
      <c r="BJ116" s="5"/>
      <c r="BK116" s="5"/>
      <c r="BL116" s="5"/>
      <c r="BM116" s="5"/>
      <c r="BN116" s="5"/>
      <c r="BO116" s="5"/>
      <c r="BP116" s="5"/>
      <c r="BQ116" s="5"/>
      <c r="BR116" s="5"/>
      <c r="BS116" s="5"/>
      <c r="BT116" s="5"/>
      <c r="BU116" s="5"/>
      <c r="BV116" s="5"/>
      <c r="BW116" s="5"/>
      <c r="BX116" s="5"/>
    </row>
    <row r="117" spans="1:76">
      <c r="A117" s="38">
        <v>105</v>
      </c>
      <c r="B117" s="50" t="s">
        <v>168</v>
      </c>
      <c r="C117" s="45" t="s">
        <v>169</v>
      </c>
      <c r="D117" s="76" t="s">
        <v>92</v>
      </c>
      <c r="E117" s="81"/>
      <c r="F117" s="99"/>
      <c r="G117" s="45" t="s">
        <v>167</v>
      </c>
      <c r="H117" s="64">
        <v>0</v>
      </c>
      <c r="I117" s="68">
        <v>0</v>
      </c>
      <c r="J117" s="40">
        <v>0</v>
      </c>
      <c r="K117" s="164"/>
      <c r="L117" s="165">
        <v>0</v>
      </c>
      <c r="M117" s="44">
        <f t="shared" si="0"/>
        <v>0</v>
      </c>
      <c r="N117" s="44">
        <f t="shared" si="23"/>
        <v>0</v>
      </c>
      <c r="O117" s="44">
        <v>0</v>
      </c>
      <c r="P117" s="44">
        <v>0</v>
      </c>
      <c r="Q117" s="44">
        <f t="shared" si="1"/>
        <v>0</v>
      </c>
      <c r="R117" s="44">
        <v>0</v>
      </c>
      <c r="S117" s="44">
        <v>0</v>
      </c>
      <c r="T117" s="44">
        <v>0</v>
      </c>
      <c r="U117" s="44">
        <f t="shared" si="2"/>
        <v>0</v>
      </c>
      <c r="V117" s="44">
        <f t="shared" si="3"/>
        <v>0</v>
      </c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5"/>
      <c r="BH117" s="5"/>
      <c r="BI117" s="5"/>
      <c r="BJ117" s="5"/>
      <c r="BK117" s="5"/>
      <c r="BL117" s="5"/>
      <c r="BM117" s="5"/>
      <c r="BN117" s="5"/>
      <c r="BO117" s="5"/>
      <c r="BP117" s="5"/>
      <c r="BQ117" s="5"/>
      <c r="BR117" s="5"/>
      <c r="BS117" s="5"/>
      <c r="BT117" s="5"/>
      <c r="BU117" s="5"/>
      <c r="BV117" s="5"/>
      <c r="BW117" s="5"/>
      <c r="BX117" s="5"/>
    </row>
    <row r="118" spans="1:76">
      <c r="A118" s="110">
        <v>106</v>
      </c>
      <c r="B118" s="58">
        <v>4014</v>
      </c>
      <c r="C118" s="63" t="s">
        <v>170</v>
      </c>
      <c r="D118" s="76" t="s">
        <v>178</v>
      </c>
      <c r="E118" s="81" t="s">
        <v>417</v>
      </c>
      <c r="F118" s="99">
        <v>42477</v>
      </c>
      <c r="G118" s="63" t="s">
        <v>171</v>
      </c>
      <c r="H118" s="64">
        <f>30169</f>
        <v>30169</v>
      </c>
      <c r="I118" s="68">
        <v>0</v>
      </c>
      <c r="J118" s="68">
        <v>0</v>
      </c>
      <c r="K118" s="141"/>
      <c r="L118" s="142">
        <v>0</v>
      </c>
      <c r="M118" s="62">
        <f t="shared" si="0"/>
        <v>30169</v>
      </c>
      <c r="N118" s="62">
        <f t="shared" si="23"/>
        <v>8879</v>
      </c>
      <c r="O118" s="113">
        <f>495</f>
        <v>495</v>
      </c>
      <c r="P118" s="62">
        <v>0</v>
      </c>
      <c r="Q118" s="62">
        <f t="shared" si="1"/>
        <v>437</v>
      </c>
      <c r="R118" s="119">
        <f>187</f>
        <v>187</v>
      </c>
      <c r="S118" s="62">
        <v>21918</v>
      </c>
      <c r="T118" s="62">
        <v>653</v>
      </c>
      <c r="U118" s="62">
        <f t="shared" si="2"/>
        <v>32569</v>
      </c>
      <c r="V118" s="62">
        <f t="shared" si="3"/>
        <v>62738</v>
      </c>
      <c r="W118" s="112"/>
      <c r="X118" s="112"/>
      <c r="Y118" s="112"/>
      <c r="Z118" s="112"/>
      <c r="AA118" s="112"/>
      <c r="AB118" s="112"/>
      <c r="AC118" s="112"/>
      <c r="AD118" s="112"/>
      <c r="AE118" s="112"/>
      <c r="AF118" s="112"/>
      <c r="AG118" s="112"/>
      <c r="AH118" s="112"/>
      <c r="AI118" s="112"/>
      <c r="AJ118" s="112"/>
      <c r="AK118" s="112"/>
      <c r="AL118" s="112"/>
      <c r="AM118" s="112"/>
      <c r="AN118" s="112"/>
      <c r="AO118" s="112"/>
      <c r="AP118" s="112"/>
      <c r="AQ118" s="112"/>
      <c r="AR118" s="112"/>
      <c r="AS118" s="112"/>
      <c r="AT118" s="112"/>
      <c r="AU118" s="112"/>
      <c r="AV118" s="112"/>
      <c r="AW118" s="112"/>
      <c r="AX118" s="112"/>
      <c r="AY118" s="112"/>
      <c r="AZ118" s="112"/>
      <c r="BA118" s="112"/>
      <c r="BB118" s="112"/>
      <c r="BC118" s="112"/>
      <c r="BD118" s="112"/>
      <c r="BE118" s="112"/>
      <c r="BF118" s="112"/>
    </row>
    <row r="119" spans="1:76">
      <c r="A119" s="110">
        <v>107</v>
      </c>
      <c r="B119" s="70" t="s">
        <v>172</v>
      </c>
      <c r="C119" s="63" t="s">
        <v>173</v>
      </c>
      <c r="D119" s="76" t="s">
        <v>179</v>
      </c>
      <c r="E119" s="81" t="s">
        <v>417</v>
      </c>
      <c r="F119" s="99">
        <v>42877</v>
      </c>
      <c r="G119" s="63" t="s">
        <v>167</v>
      </c>
      <c r="H119" s="64">
        <f>25736</f>
        <v>25736</v>
      </c>
      <c r="I119" s="68">
        <v>0</v>
      </c>
      <c r="J119" s="68">
        <v>0</v>
      </c>
      <c r="K119" s="141"/>
      <c r="L119" s="142">
        <v>0</v>
      </c>
      <c r="M119" s="62">
        <f t="shared" si="0"/>
        <v>25736</v>
      </c>
      <c r="N119" s="62">
        <f t="shared" si="23"/>
        <v>7574</v>
      </c>
      <c r="O119" s="113">
        <f>495</f>
        <v>495</v>
      </c>
      <c r="P119" s="62">
        <v>0</v>
      </c>
      <c r="Q119" s="62">
        <f t="shared" si="1"/>
        <v>373</v>
      </c>
      <c r="R119" s="119">
        <f>187</f>
        <v>187</v>
      </c>
      <c r="S119" s="62">
        <v>0</v>
      </c>
      <c r="T119" s="62">
        <v>342</v>
      </c>
      <c r="U119" s="62">
        <f t="shared" si="2"/>
        <v>8971</v>
      </c>
      <c r="V119" s="62">
        <f t="shared" si="3"/>
        <v>34707</v>
      </c>
      <c r="W119" s="112"/>
      <c r="X119" s="112"/>
      <c r="Y119" s="112"/>
      <c r="Z119" s="112"/>
      <c r="AA119" s="112"/>
      <c r="AB119" s="112"/>
      <c r="AC119" s="112"/>
      <c r="AD119" s="112"/>
      <c r="AE119" s="112"/>
      <c r="AF119" s="112"/>
      <c r="AG119" s="112"/>
      <c r="AH119" s="112"/>
      <c r="AI119" s="112"/>
      <c r="AJ119" s="112"/>
      <c r="AK119" s="112"/>
      <c r="AL119" s="112"/>
      <c r="AM119" s="112"/>
      <c r="AN119" s="112"/>
      <c r="AO119" s="112"/>
      <c r="AP119" s="112"/>
      <c r="AQ119" s="112"/>
      <c r="AR119" s="112"/>
      <c r="AS119" s="112"/>
      <c r="AT119" s="112"/>
      <c r="AU119" s="112"/>
      <c r="AV119" s="112"/>
      <c r="AW119" s="112"/>
      <c r="AX119" s="112"/>
      <c r="AY119" s="112"/>
      <c r="AZ119" s="112"/>
      <c r="BA119" s="112"/>
      <c r="BB119" s="112"/>
      <c r="BC119" s="112"/>
      <c r="BD119" s="112"/>
      <c r="BE119" s="112"/>
      <c r="BF119" s="112"/>
    </row>
    <row r="120" spans="1:76">
      <c r="A120" s="110">
        <v>108</v>
      </c>
      <c r="B120" s="70" t="s">
        <v>174</v>
      </c>
      <c r="C120" s="63" t="s">
        <v>173</v>
      </c>
      <c r="D120" s="76" t="s">
        <v>180</v>
      </c>
      <c r="E120" s="81" t="s">
        <v>417</v>
      </c>
      <c r="F120" s="99">
        <v>42352</v>
      </c>
      <c r="G120" s="63" t="s">
        <v>167</v>
      </c>
      <c r="H120" s="64">
        <f>25736</f>
        <v>25736</v>
      </c>
      <c r="I120" s="68">
        <v>0</v>
      </c>
      <c r="J120" s="68">
        <v>0</v>
      </c>
      <c r="K120" s="141"/>
      <c r="L120" s="142">
        <v>0</v>
      </c>
      <c r="M120" s="62">
        <f t="shared" si="0"/>
        <v>25736</v>
      </c>
      <c r="N120" s="62">
        <f t="shared" si="23"/>
        <v>7574</v>
      </c>
      <c r="O120" s="113">
        <f>495</f>
        <v>495</v>
      </c>
      <c r="P120" s="62">
        <v>0</v>
      </c>
      <c r="Q120" s="62">
        <f t="shared" si="1"/>
        <v>373</v>
      </c>
      <c r="R120" s="119">
        <f>187</f>
        <v>187</v>
      </c>
      <c r="S120" s="62">
        <v>0</v>
      </c>
      <c r="T120" s="62">
        <v>342</v>
      </c>
      <c r="U120" s="62">
        <f t="shared" si="2"/>
        <v>8971</v>
      </c>
      <c r="V120" s="62">
        <f t="shared" si="3"/>
        <v>34707</v>
      </c>
      <c r="W120" s="112"/>
      <c r="X120" s="112"/>
      <c r="Y120" s="112"/>
      <c r="Z120" s="112"/>
      <c r="AA120" s="112"/>
      <c r="AB120" s="112"/>
      <c r="AC120" s="112"/>
      <c r="AD120" s="112"/>
      <c r="AE120" s="112"/>
      <c r="AF120" s="112"/>
      <c r="AG120" s="112"/>
      <c r="AH120" s="112"/>
      <c r="AI120" s="112"/>
      <c r="AJ120" s="112"/>
      <c r="AK120" s="112"/>
      <c r="AL120" s="112"/>
      <c r="AM120" s="112"/>
      <c r="AN120" s="112"/>
      <c r="AO120" s="112"/>
      <c r="AP120" s="112"/>
      <c r="AQ120" s="112"/>
      <c r="AR120" s="112"/>
      <c r="AS120" s="112"/>
      <c r="AT120" s="112"/>
      <c r="AU120" s="112"/>
      <c r="AV120" s="112"/>
      <c r="AW120" s="112"/>
      <c r="AX120" s="112"/>
      <c r="AY120" s="112"/>
      <c r="AZ120" s="112"/>
      <c r="BA120" s="112"/>
      <c r="BB120" s="112"/>
      <c r="BC120" s="112"/>
      <c r="BD120" s="112"/>
      <c r="BE120" s="112"/>
      <c r="BF120" s="112"/>
    </row>
    <row r="121" spans="1:76">
      <c r="A121" s="38">
        <v>109</v>
      </c>
      <c r="B121" s="50" t="s">
        <v>175</v>
      </c>
      <c r="C121" s="45" t="s">
        <v>173</v>
      </c>
      <c r="D121" s="76" t="s">
        <v>92</v>
      </c>
      <c r="E121" s="81"/>
      <c r="F121" s="99"/>
      <c r="G121" s="45" t="s">
        <v>167</v>
      </c>
      <c r="H121" s="64">
        <v>0</v>
      </c>
      <c r="I121" s="68">
        <v>0</v>
      </c>
      <c r="J121" s="40">
        <v>0</v>
      </c>
      <c r="K121" s="164"/>
      <c r="L121" s="165">
        <v>0</v>
      </c>
      <c r="M121" s="44">
        <f t="shared" si="0"/>
        <v>0</v>
      </c>
      <c r="N121" s="44">
        <f t="shared" si="23"/>
        <v>0</v>
      </c>
      <c r="O121" s="44">
        <v>0</v>
      </c>
      <c r="P121" s="44">
        <v>0</v>
      </c>
      <c r="Q121" s="44">
        <f t="shared" si="1"/>
        <v>0</v>
      </c>
      <c r="R121" s="44">
        <v>0</v>
      </c>
      <c r="S121" s="44">
        <v>0</v>
      </c>
      <c r="T121" s="44">
        <v>0</v>
      </c>
      <c r="U121" s="44">
        <f t="shared" si="2"/>
        <v>0</v>
      </c>
      <c r="V121" s="44">
        <f t="shared" si="3"/>
        <v>0</v>
      </c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5"/>
      <c r="BH121" s="5"/>
      <c r="BI121" s="5"/>
      <c r="BJ121" s="5"/>
      <c r="BK121" s="5"/>
      <c r="BL121" s="5"/>
      <c r="BM121" s="5"/>
      <c r="BN121" s="5"/>
      <c r="BO121" s="5"/>
      <c r="BP121" s="5"/>
      <c r="BQ121" s="5"/>
      <c r="BR121" s="5"/>
      <c r="BS121" s="5"/>
      <c r="BT121" s="5"/>
      <c r="BU121" s="5"/>
      <c r="BV121" s="5"/>
      <c r="BW121" s="5"/>
      <c r="BX121" s="5"/>
    </row>
    <row r="122" spans="1:76">
      <c r="A122" s="110">
        <v>110</v>
      </c>
      <c r="B122" s="70" t="s">
        <v>176</v>
      </c>
      <c r="C122" s="63" t="s">
        <v>173</v>
      </c>
      <c r="D122" s="76" t="s">
        <v>181</v>
      </c>
      <c r="E122" s="81" t="s">
        <v>417</v>
      </c>
      <c r="F122" s="99">
        <v>42986</v>
      </c>
      <c r="G122" s="63" t="s">
        <v>167</v>
      </c>
      <c r="H122" s="64">
        <f>25736</f>
        <v>25736</v>
      </c>
      <c r="I122" s="68">
        <v>0</v>
      </c>
      <c r="J122" s="68">
        <v>0</v>
      </c>
      <c r="K122" s="141"/>
      <c r="L122" s="142">
        <v>0</v>
      </c>
      <c r="M122" s="62">
        <f t="shared" si="0"/>
        <v>25736</v>
      </c>
      <c r="N122" s="62">
        <f t="shared" si="23"/>
        <v>7574</v>
      </c>
      <c r="O122" s="113">
        <f>495</f>
        <v>495</v>
      </c>
      <c r="P122" s="62">
        <v>0</v>
      </c>
      <c r="Q122" s="62">
        <f t="shared" si="1"/>
        <v>373</v>
      </c>
      <c r="R122" s="119">
        <f>187</f>
        <v>187</v>
      </c>
      <c r="S122" s="62">
        <v>4801</v>
      </c>
      <c r="T122" s="62">
        <v>342</v>
      </c>
      <c r="U122" s="62">
        <f t="shared" si="2"/>
        <v>13772</v>
      </c>
      <c r="V122" s="62">
        <f t="shared" si="3"/>
        <v>39508</v>
      </c>
      <c r="W122" s="112"/>
      <c r="X122" s="112"/>
      <c r="Y122" s="112"/>
      <c r="Z122" s="112"/>
      <c r="AA122" s="112"/>
      <c r="AB122" s="112"/>
      <c r="AC122" s="112"/>
      <c r="AD122" s="112"/>
      <c r="AE122" s="112"/>
      <c r="AF122" s="112"/>
      <c r="AG122" s="112"/>
      <c r="AH122" s="112"/>
      <c r="AI122" s="112"/>
      <c r="AJ122" s="112"/>
      <c r="AK122" s="112"/>
      <c r="AL122" s="112"/>
      <c r="AM122" s="112"/>
      <c r="AN122" s="112"/>
      <c r="AO122" s="112"/>
      <c r="AP122" s="112"/>
      <c r="AQ122" s="112"/>
      <c r="AR122" s="112"/>
      <c r="AS122" s="112"/>
      <c r="AT122" s="112"/>
      <c r="AU122" s="112"/>
      <c r="AV122" s="112"/>
      <c r="AW122" s="112"/>
      <c r="AX122" s="112"/>
      <c r="AY122" s="112"/>
      <c r="AZ122" s="112"/>
      <c r="BA122" s="112"/>
      <c r="BB122" s="112"/>
      <c r="BC122" s="112"/>
      <c r="BD122" s="112"/>
      <c r="BE122" s="112"/>
      <c r="BF122" s="112"/>
    </row>
    <row r="123" spans="1:76">
      <c r="A123" s="38">
        <v>111</v>
      </c>
      <c r="B123" s="50" t="s">
        <v>177</v>
      </c>
      <c r="C123" s="45" t="s">
        <v>173</v>
      </c>
      <c r="D123" s="76" t="s">
        <v>92</v>
      </c>
      <c r="E123" s="81"/>
      <c r="F123" s="99"/>
      <c r="G123" s="45" t="s">
        <v>167</v>
      </c>
      <c r="H123" s="64">
        <v>0</v>
      </c>
      <c r="I123" s="68">
        <v>0</v>
      </c>
      <c r="J123" s="40">
        <v>0</v>
      </c>
      <c r="K123" s="164"/>
      <c r="L123" s="165">
        <v>0</v>
      </c>
      <c r="M123" s="44">
        <f t="shared" si="0"/>
        <v>0</v>
      </c>
      <c r="N123" s="44">
        <f t="shared" si="23"/>
        <v>0</v>
      </c>
      <c r="O123" s="44">
        <v>0</v>
      </c>
      <c r="P123" s="44">
        <v>0</v>
      </c>
      <c r="Q123" s="44">
        <f t="shared" si="1"/>
        <v>0</v>
      </c>
      <c r="R123" s="44">
        <v>0</v>
      </c>
      <c r="S123" s="44">
        <v>0</v>
      </c>
      <c r="T123" s="44">
        <v>0</v>
      </c>
      <c r="U123" s="44">
        <f t="shared" si="2"/>
        <v>0</v>
      </c>
      <c r="V123" s="44">
        <f t="shared" si="3"/>
        <v>0</v>
      </c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5"/>
      <c r="BH123" s="5"/>
      <c r="BI123" s="5"/>
      <c r="BJ123" s="5"/>
      <c r="BK123" s="5"/>
      <c r="BL123" s="5"/>
      <c r="BM123" s="5"/>
      <c r="BN123" s="5"/>
      <c r="BO123" s="5"/>
      <c r="BP123" s="5"/>
      <c r="BQ123" s="5"/>
      <c r="BR123" s="5"/>
      <c r="BS123" s="5"/>
      <c r="BT123" s="5"/>
      <c r="BU123" s="5"/>
      <c r="BV123" s="5"/>
      <c r="BW123" s="5"/>
      <c r="BX123" s="5"/>
    </row>
    <row r="124" spans="1:76">
      <c r="A124" s="110">
        <v>112</v>
      </c>
      <c r="B124" s="58">
        <v>5000</v>
      </c>
      <c r="C124" s="63" t="s">
        <v>476</v>
      </c>
      <c r="D124" s="76" t="s">
        <v>182</v>
      </c>
      <c r="E124" s="81" t="s">
        <v>417</v>
      </c>
      <c r="F124" s="99">
        <v>42569</v>
      </c>
      <c r="G124" s="63" t="s">
        <v>494</v>
      </c>
      <c r="H124" s="64">
        <v>95162</v>
      </c>
      <c r="I124" s="68">
        <v>0</v>
      </c>
      <c r="J124" s="68">
        <v>0</v>
      </c>
      <c r="K124" s="141">
        <v>46221</v>
      </c>
      <c r="L124" s="142">
        <f>755/4</f>
        <v>188.75</v>
      </c>
      <c r="M124" s="62">
        <f t="shared" si="0"/>
        <v>95350.75</v>
      </c>
      <c r="N124" s="62">
        <f>ROUND((M124*0.2943),0)</f>
        <v>28062</v>
      </c>
      <c r="O124" s="113">
        <f>495</f>
        <v>495</v>
      </c>
      <c r="P124" s="62">
        <v>0</v>
      </c>
      <c r="Q124" s="62">
        <f t="shared" si="1"/>
        <v>1383</v>
      </c>
      <c r="R124" s="119">
        <f>187</f>
        <v>187</v>
      </c>
      <c r="S124" s="62">
        <v>11192</v>
      </c>
      <c r="T124" s="62">
        <v>653</v>
      </c>
      <c r="U124" s="62">
        <f t="shared" si="2"/>
        <v>41972</v>
      </c>
      <c r="V124" s="62">
        <f t="shared" si="3"/>
        <v>137322.75</v>
      </c>
      <c r="W124" s="112"/>
      <c r="X124" s="112"/>
      <c r="Y124" s="112"/>
      <c r="Z124" s="112"/>
      <c r="AA124" s="112"/>
      <c r="AB124" s="112"/>
      <c r="AC124" s="112"/>
      <c r="AD124" s="112"/>
      <c r="AE124" s="112"/>
      <c r="AF124" s="112"/>
      <c r="AG124" s="112"/>
      <c r="AH124" s="112"/>
      <c r="AI124" s="112"/>
      <c r="AJ124" s="112"/>
      <c r="AK124" s="112"/>
      <c r="AL124" s="112"/>
      <c r="AM124" s="112"/>
      <c r="AN124" s="112"/>
      <c r="AO124" s="112"/>
      <c r="AP124" s="112"/>
      <c r="AQ124" s="112"/>
      <c r="AR124" s="112"/>
      <c r="AS124" s="112"/>
      <c r="AT124" s="112"/>
      <c r="AU124" s="112"/>
      <c r="AV124" s="112"/>
      <c r="AW124" s="112"/>
      <c r="AX124" s="112"/>
      <c r="AY124" s="112"/>
      <c r="AZ124" s="112"/>
      <c r="BA124" s="112"/>
      <c r="BB124" s="112"/>
      <c r="BC124" s="112"/>
      <c r="BD124" s="112"/>
      <c r="BE124" s="112"/>
      <c r="BF124" s="112"/>
    </row>
    <row r="125" spans="1:76">
      <c r="A125" s="110">
        <v>113</v>
      </c>
      <c r="B125" s="70" t="s">
        <v>183</v>
      </c>
      <c r="C125" s="63" t="s">
        <v>95</v>
      </c>
      <c r="D125" s="76" t="s">
        <v>184</v>
      </c>
      <c r="E125" s="81" t="s">
        <v>417</v>
      </c>
      <c r="F125" s="99">
        <v>44101</v>
      </c>
      <c r="G125" s="63" t="s">
        <v>495</v>
      </c>
      <c r="H125" s="64">
        <v>36173</v>
      </c>
      <c r="I125" s="68">
        <v>0</v>
      </c>
      <c r="J125" s="68">
        <v>0</v>
      </c>
      <c r="K125" s="141">
        <v>45885</v>
      </c>
      <c r="L125" s="142">
        <f>229/4</f>
        <v>57.25</v>
      </c>
      <c r="M125" s="62">
        <f t="shared" si="0"/>
        <v>36230.25</v>
      </c>
      <c r="N125" s="62">
        <f>ROUND((M125*0.2943),0)</f>
        <v>10663</v>
      </c>
      <c r="O125" s="113">
        <f>495</f>
        <v>495</v>
      </c>
      <c r="P125" s="62">
        <v>0</v>
      </c>
      <c r="Q125" s="62">
        <f t="shared" si="1"/>
        <v>525</v>
      </c>
      <c r="R125" s="119">
        <f>187</f>
        <v>187</v>
      </c>
      <c r="S125" s="62">
        <v>8310</v>
      </c>
      <c r="T125" s="62">
        <v>486</v>
      </c>
      <c r="U125" s="62">
        <f t="shared" si="2"/>
        <v>20666</v>
      </c>
      <c r="V125" s="62">
        <f t="shared" si="3"/>
        <v>56896.25</v>
      </c>
      <c r="W125" s="112"/>
      <c r="X125" s="112"/>
      <c r="Y125" s="112"/>
      <c r="Z125" s="112"/>
      <c r="AA125" s="112"/>
      <c r="AB125" s="112"/>
      <c r="AC125" s="112"/>
      <c r="AD125" s="112"/>
      <c r="AE125" s="112"/>
      <c r="AF125" s="112"/>
      <c r="AG125" s="112"/>
      <c r="AH125" s="112"/>
      <c r="AI125" s="112"/>
      <c r="AJ125" s="112"/>
      <c r="AK125" s="112"/>
      <c r="AL125" s="112"/>
      <c r="AM125" s="112"/>
      <c r="AN125" s="112"/>
      <c r="AO125" s="112"/>
      <c r="AP125" s="112"/>
      <c r="AQ125" s="112"/>
      <c r="AR125" s="112"/>
      <c r="AS125" s="112"/>
      <c r="AT125" s="112"/>
      <c r="AU125" s="112"/>
      <c r="AV125" s="112"/>
      <c r="AW125" s="112"/>
      <c r="AX125" s="112"/>
      <c r="AY125" s="112"/>
      <c r="AZ125" s="112"/>
      <c r="BA125" s="112"/>
      <c r="BB125" s="112"/>
      <c r="BC125" s="112"/>
      <c r="BD125" s="112"/>
      <c r="BE125" s="112"/>
      <c r="BF125" s="112"/>
    </row>
    <row r="126" spans="1:76">
      <c r="A126" s="110">
        <v>114</v>
      </c>
      <c r="B126" s="70" t="s">
        <v>185</v>
      </c>
      <c r="C126" s="63" t="s">
        <v>186</v>
      </c>
      <c r="D126" s="76" t="s">
        <v>187</v>
      </c>
      <c r="E126" s="81" t="s">
        <v>417</v>
      </c>
      <c r="F126" s="99">
        <v>42925</v>
      </c>
      <c r="G126" s="63" t="s">
        <v>496</v>
      </c>
      <c r="H126" s="64">
        <v>37580</v>
      </c>
      <c r="I126" s="68">
        <v>0</v>
      </c>
      <c r="J126" s="68">
        <v>0</v>
      </c>
      <c r="K126" s="141">
        <v>46110</v>
      </c>
      <c r="L126" s="142">
        <f>831/4</f>
        <v>207.75</v>
      </c>
      <c r="M126" s="62">
        <f t="shared" si="0"/>
        <v>37787.75</v>
      </c>
      <c r="N126" s="62">
        <f>ROUND((M126*0.2943),0)</f>
        <v>11121</v>
      </c>
      <c r="O126" s="113">
        <f>495</f>
        <v>495</v>
      </c>
      <c r="P126" s="62">
        <v>0</v>
      </c>
      <c r="Q126" s="62">
        <f t="shared" si="1"/>
        <v>548</v>
      </c>
      <c r="R126" s="119">
        <f>187</f>
        <v>187</v>
      </c>
      <c r="S126" s="62">
        <v>8551</v>
      </c>
      <c r="T126" s="62">
        <v>342</v>
      </c>
      <c r="U126" s="62">
        <f t="shared" si="2"/>
        <v>21244</v>
      </c>
      <c r="V126" s="62">
        <f t="shared" si="3"/>
        <v>59031.75</v>
      </c>
      <c r="W126" s="112"/>
      <c r="X126" s="112"/>
      <c r="Y126" s="112"/>
      <c r="Z126" s="112"/>
      <c r="AA126" s="112"/>
      <c r="AB126" s="112"/>
      <c r="AC126" s="112"/>
      <c r="AD126" s="112"/>
      <c r="AE126" s="112"/>
      <c r="AF126" s="112"/>
      <c r="AG126" s="112"/>
      <c r="AH126" s="112"/>
      <c r="AI126" s="112"/>
      <c r="AJ126" s="112"/>
      <c r="AK126" s="112"/>
      <c r="AL126" s="112"/>
      <c r="AM126" s="112"/>
      <c r="AN126" s="112"/>
      <c r="AO126" s="112"/>
      <c r="AP126" s="112"/>
      <c r="AQ126" s="112"/>
      <c r="AR126" s="112"/>
      <c r="AS126" s="112"/>
      <c r="AT126" s="112"/>
      <c r="AU126" s="112"/>
      <c r="AV126" s="112"/>
      <c r="AW126" s="112"/>
      <c r="AX126" s="112"/>
      <c r="AY126" s="112"/>
      <c r="AZ126" s="112"/>
      <c r="BA126" s="112"/>
      <c r="BB126" s="112"/>
      <c r="BC126" s="112"/>
      <c r="BD126" s="112"/>
      <c r="BE126" s="112"/>
      <c r="BF126" s="112"/>
    </row>
    <row r="127" spans="1:76">
      <c r="A127" s="110">
        <v>115</v>
      </c>
      <c r="B127" s="70" t="s">
        <v>188</v>
      </c>
      <c r="C127" s="63" t="s">
        <v>95</v>
      </c>
      <c r="D127" s="76" t="s">
        <v>453</v>
      </c>
      <c r="E127" s="81" t="s">
        <v>417</v>
      </c>
      <c r="F127" s="99">
        <v>44643</v>
      </c>
      <c r="G127" s="63" t="s">
        <v>78</v>
      </c>
      <c r="H127" s="64">
        <v>32355</v>
      </c>
      <c r="I127" s="68">
        <v>0</v>
      </c>
      <c r="J127" s="68">
        <v>0</v>
      </c>
      <c r="K127" s="141"/>
      <c r="L127" s="142">
        <v>0</v>
      </c>
      <c r="M127" s="62">
        <f t="shared" si="0"/>
        <v>32355</v>
      </c>
      <c r="N127" s="62">
        <f t="shared" ref="N127:N168" si="24">ROUND((M127*0.2943),0)</f>
        <v>9522</v>
      </c>
      <c r="O127" s="113">
        <f>495</f>
        <v>495</v>
      </c>
      <c r="P127" s="62">
        <v>0</v>
      </c>
      <c r="Q127" s="62">
        <f t="shared" si="1"/>
        <v>469</v>
      </c>
      <c r="R127" s="119">
        <f>187</f>
        <v>187</v>
      </c>
      <c r="S127" s="62">
        <v>6921</v>
      </c>
      <c r="T127" s="62">
        <v>653</v>
      </c>
      <c r="U127" s="62">
        <f t="shared" si="2"/>
        <v>18247</v>
      </c>
      <c r="V127" s="62">
        <f t="shared" si="3"/>
        <v>50602</v>
      </c>
      <c r="W127" s="112"/>
      <c r="X127" s="112"/>
      <c r="Y127" s="112"/>
      <c r="Z127" s="112"/>
      <c r="AA127" s="112"/>
      <c r="AB127" s="112"/>
      <c r="AC127" s="112"/>
      <c r="AD127" s="112"/>
      <c r="AE127" s="112"/>
      <c r="AF127" s="112"/>
      <c r="AG127" s="112"/>
      <c r="AH127" s="112"/>
      <c r="AI127" s="112"/>
      <c r="AJ127" s="112"/>
      <c r="AK127" s="112"/>
      <c r="AL127" s="112"/>
      <c r="AM127" s="112"/>
      <c r="AN127" s="112"/>
      <c r="AO127" s="112"/>
      <c r="AP127" s="112"/>
      <c r="AQ127" s="112"/>
      <c r="AR127" s="112"/>
      <c r="AS127" s="112"/>
      <c r="AT127" s="112"/>
      <c r="AU127" s="112"/>
      <c r="AV127" s="112"/>
      <c r="AW127" s="112"/>
      <c r="AX127" s="112"/>
      <c r="AY127" s="112"/>
      <c r="AZ127" s="112"/>
      <c r="BA127" s="112"/>
      <c r="BB127" s="112"/>
      <c r="BC127" s="112"/>
      <c r="BD127" s="112"/>
      <c r="BE127" s="112"/>
      <c r="BF127" s="112"/>
    </row>
    <row r="128" spans="1:76">
      <c r="A128" s="110">
        <v>116</v>
      </c>
      <c r="B128" s="58">
        <v>6000</v>
      </c>
      <c r="C128" s="63" t="s">
        <v>189</v>
      </c>
      <c r="D128" s="76" t="s">
        <v>190</v>
      </c>
      <c r="E128" s="81" t="s">
        <v>417</v>
      </c>
      <c r="F128" s="99">
        <v>39055</v>
      </c>
      <c r="G128" s="63" t="s">
        <v>72</v>
      </c>
      <c r="H128" s="64">
        <f>75392</f>
        <v>75392</v>
      </c>
      <c r="I128" s="68">
        <v>0</v>
      </c>
      <c r="J128" s="68">
        <v>0</v>
      </c>
      <c r="K128" s="141">
        <v>45903</v>
      </c>
      <c r="L128" s="142">
        <f>199/4</f>
        <v>49.75</v>
      </c>
      <c r="M128" s="62">
        <f t="shared" si="0"/>
        <v>75441.75</v>
      </c>
      <c r="N128" s="62">
        <f t="shared" si="24"/>
        <v>22203</v>
      </c>
      <c r="O128" s="62">
        <v>0</v>
      </c>
      <c r="P128" s="62">
        <v>0</v>
      </c>
      <c r="Q128" s="62">
        <f t="shared" si="1"/>
        <v>1094</v>
      </c>
      <c r="R128" s="119">
        <f>187</f>
        <v>187</v>
      </c>
      <c r="S128" s="62">
        <v>8551</v>
      </c>
      <c r="T128" s="62">
        <v>342</v>
      </c>
      <c r="U128" s="62">
        <f t="shared" si="2"/>
        <v>32377</v>
      </c>
      <c r="V128" s="62">
        <f t="shared" si="3"/>
        <v>107818.75</v>
      </c>
      <c r="W128" s="112"/>
      <c r="X128" s="112"/>
      <c r="Y128" s="112"/>
      <c r="Z128" s="112"/>
      <c r="AA128" s="112"/>
      <c r="AB128" s="112"/>
      <c r="AC128" s="112"/>
      <c r="AD128" s="112"/>
      <c r="AE128" s="112"/>
      <c r="AF128" s="112"/>
      <c r="AG128" s="112"/>
      <c r="AH128" s="112"/>
      <c r="AI128" s="112"/>
      <c r="AJ128" s="112"/>
      <c r="AK128" s="112"/>
      <c r="AL128" s="112"/>
      <c r="AM128" s="112"/>
      <c r="AN128" s="112"/>
      <c r="AO128" s="112"/>
      <c r="AP128" s="112"/>
      <c r="AQ128" s="112"/>
      <c r="AR128" s="112"/>
      <c r="AS128" s="112"/>
      <c r="AT128" s="112"/>
      <c r="AU128" s="112"/>
      <c r="AV128" s="112"/>
      <c r="AW128" s="112"/>
      <c r="AX128" s="112"/>
      <c r="AY128" s="112"/>
      <c r="AZ128" s="112"/>
      <c r="BA128" s="112"/>
      <c r="BB128" s="112"/>
      <c r="BC128" s="112"/>
      <c r="BD128" s="112"/>
      <c r="BE128" s="112"/>
      <c r="BF128" s="112"/>
    </row>
    <row r="129" spans="1:76">
      <c r="A129" s="38">
        <v>117</v>
      </c>
      <c r="B129" s="50" t="s">
        <v>191</v>
      </c>
      <c r="C129" s="45" t="s">
        <v>433</v>
      </c>
      <c r="D129" s="76" t="s">
        <v>192</v>
      </c>
      <c r="E129" s="81" t="s">
        <v>417</v>
      </c>
      <c r="F129" s="99">
        <v>34827</v>
      </c>
      <c r="G129" s="45" t="s">
        <v>193</v>
      </c>
      <c r="H129" s="64">
        <f>66142</f>
        <v>66142</v>
      </c>
      <c r="I129" s="68">
        <v>0</v>
      </c>
      <c r="J129" s="40">
        <v>0</v>
      </c>
      <c r="K129" s="164">
        <v>45990</v>
      </c>
      <c r="L129" s="165">
        <v>0</v>
      </c>
      <c r="M129" s="44">
        <f t="shared" si="0"/>
        <v>66142</v>
      </c>
      <c r="N129" s="44">
        <f t="shared" si="24"/>
        <v>19466</v>
      </c>
      <c r="O129" s="42">
        <f>495</f>
        <v>495</v>
      </c>
      <c r="P129" s="44">
        <v>0</v>
      </c>
      <c r="Q129" s="44">
        <f t="shared" si="1"/>
        <v>959</v>
      </c>
      <c r="R129" s="107">
        <f>187</f>
        <v>187</v>
      </c>
      <c r="S129" s="44">
        <v>8551</v>
      </c>
      <c r="T129" s="44">
        <v>342</v>
      </c>
      <c r="U129" s="44">
        <f t="shared" si="2"/>
        <v>30000</v>
      </c>
      <c r="V129" s="44">
        <f t="shared" si="3"/>
        <v>96142</v>
      </c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5"/>
      <c r="BH129" s="5"/>
      <c r="BI129" s="5"/>
      <c r="BJ129" s="5"/>
      <c r="BK129" s="5"/>
      <c r="BL129" s="5"/>
      <c r="BM129" s="5"/>
      <c r="BN129" s="5"/>
      <c r="BO129" s="5"/>
      <c r="BP129" s="5"/>
      <c r="BQ129" s="5"/>
      <c r="BR129" s="5"/>
      <c r="BS129" s="5"/>
      <c r="BT129" s="5"/>
      <c r="BU129" s="5"/>
      <c r="BV129" s="5"/>
      <c r="BW129" s="5"/>
      <c r="BX129" s="5"/>
    </row>
    <row r="130" spans="1:76">
      <c r="A130" s="110">
        <v>118</v>
      </c>
      <c r="B130" s="70" t="s">
        <v>194</v>
      </c>
      <c r="C130" s="63" t="s">
        <v>101</v>
      </c>
      <c r="D130" s="76" t="s">
        <v>92</v>
      </c>
      <c r="E130" s="81" t="s">
        <v>417</v>
      </c>
      <c r="F130" s="99"/>
      <c r="G130" s="63" t="s">
        <v>78</v>
      </c>
      <c r="H130" s="64">
        <v>0</v>
      </c>
      <c r="I130" s="68">
        <v>0</v>
      </c>
      <c r="J130" s="68">
        <v>0</v>
      </c>
      <c r="K130" s="141"/>
      <c r="L130" s="142">
        <v>0</v>
      </c>
      <c r="M130" s="62">
        <f t="shared" si="0"/>
        <v>0</v>
      </c>
      <c r="N130" s="62">
        <f t="shared" si="24"/>
        <v>0</v>
      </c>
      <c r="O130" s="113">
        <v>0</v>
      </c>
      <c r="P130" s="62">
        <v>0</v>
      </c>
      <c r="Q130" s="62">
        <f t="shared" si="1"/>
        <v>0</v>
      </c>
      <c r="R130" s="119">
        <v>0</v>
      </c>
      <c r="S130" s="62">
        <v>0</v>
      </c>
      <c r="T130" s="62">
        <v>0</v>
      </c>
      <c r="U130" s="62">
        <f t="shared" si="2"/>
        <v>0</v>
      </c>
      <c r="V130" s="62">
        <f t="shared" si="3"/>
        <v>0</v>
      </c>
      <c r="W130" s="112"/>
      <c r="X130" s="112"/>
      <c r="Y130" s="112"/>
      <c r="Z130" s="112"/>
      <c r="AA130" s="112"/>
      <c r="AB130" s="112"/>
      <c r="AC130" s="112"/>
      <c r="AD130" s="112"/>
      <c r="AE130" s="112"/>
      <c r="AF130" s="112"/>
      <c r="AG130" s="112"/>
      <c r="AH130" s="112"/>
      <c r="AI130" s="112"/>
      <c r="AJ130" s="112"/>
      <c r="AK130" s="112"/>
      <c r="AL130" s="112"/>
      <c r="AM130" s="112"/>
      <c r="AN130" s="112"/>
      <c r="AO130" s="112"/>
      <c r="AP130" s="112"/>
      <c r="AQ130" s="112"/>
      <c r="AR130" s="112"/>
      <c r="AS130" s="112"/>
      <c r="AT130" s="112"/>
      <c r="AU130" s="112"/>
      <c r="AV130" s="112"/>
      <c r="AW130" s="112"/>
      <c r="AX130" s="112"/>
      <c r="AY130" s="112"/>
      <c r="AZ130" s="112"/>
      <c r="BA130" s="112"/>
      <c r="BB130" s="112"/>
      <c r="BC130" s="112"/>
      <c r="BD130" s="112"/>
      <c r="BE130" s="112"/>
      <c r="BF130" s="112"/>
    </row>
    <row r="131" spans="1:76">
      <c r="A131" s="110">
        <v>119</v>
      </c>
      <c r="B131" s="70" t="s">
        <v>196</v>
      </c>
      <c r="C131" s="63" t="s">
        <v>202</v>
      </c>
      <c r="D131" s="76" t="s">
        <v>195</v>
      </c>
      <c r="E131" s="81" t="s">
        <v>417</v>
      </c>
      <c r="F131" s="99">
        <v>42821</v>
      </c>
      <c r="G131" s="63" t="s">
        <v>226</v>
      </c>
      <c r="H131" s="64">
        <v>39349</v>
      </c>
      <c r="I131" s="68">
        <v>0</v>
      </c>
      <c r="J131" s="68">
        <v>0</v>
      </c>
      <c r="K131" s="141">
        <v>45951</v>
      </c>
      <c r="L131" s="142">
        <f>1492/4</f>
        <v>373</v>
      </c>
      <c r="M131" s="62">
        <f t="shared" si="0"/>
        <v>39722</v>
      </c>
      <c r="N131" s="62">
        <f t="shared" si="24"/>
        <v>11690</v>
      </c>
      <c r="O131" s="113">
        <f>495</f>
        <v>495</v>
      </c>
      <c r="P131" s="62">
        <v>0</v>
      </c>
      <c r="Q131" s="62">
        <f t="shared" si="1"/>
        <v>576</v>
      </c>
      <c r="R131" s="119">
        <f>187</f>
        <v>187</v>
      </c>
      <c r="S131" s="62">
        <v>8551</v>
      </c>
      <c r="T131" s="62">
        <v>342</v>
      </c>
      <c r="U131" s="62">
        <f t="shared" si="2"/>
        <v>21841</v>
      </c>
      <c r="V131" s="62">
        <f t="shared" si="3"/>
        <v>61563</v>
      </c>
      <c r="W131" s="112"/>
      <c r="X131" s="112"/>
      <c r="Y131" s="112"/>
      <c r="Z131" s="112"/>
      <c r="AA131" s="112"/>
      <c r="AB131" s="112"/>
      <c r="AC131" s="112"/>
      <c r="AD131" s="112"/>
      <c r="AE131" s="112"/>
      <c r="AF131" s="112"/>
      <c r="AG131" s="112"/>
      <c r="AH131" s="112"/>
      <c r="AI131" s="112"/>
      <c r="AJ131" s="112"/>
      <c r="AK131" s="112"/>
      <c r="AL131" s="112"/>
      <c r="AM131" s="112"/>
      <c r="AN131" s="112"/>
      <c r="AO131" s="112"/>
      <c r="AP131" s="112"/>
      <c r="AQ131" s="112"/>
      <c r="AR131" s="112"/>
      <c r="AS131" s="112"/>
      <c r="AT131" s="112"/>
      <c r="AU131" s="112"/>
      <c r="AV131" s="112"/>
      <c r="AW131" s="112"/>
      <c r="AX131" s="112"/>
      <c r="AY131" s="112"/>
      <c r="AZ131" s="112"/>
      <c r="BA131" s="112"/>
      <c r="BB131" s="112"/>
      <c r="BC131" s="112"/>
      <c r="BD131" s="112"/>
      <c r="BE131" s="112"/>
      <c r="BF131" s="112"/>
    </row>
    <row r="132" spans="1:76">
      <c r="A132" s="110">
        <v>120</v>
      </c>
      <c r="B132" s="70" t="s">
        <v>197</v>
      </c>
      <c r="C132" s="63" t="s">
        <v>198</v>
      </c>
      <c r="D132" s="76" t="s">
        <v>199</v>
      </c>
      <c r="E132" s="81" t="s">
        <v>417</v>
      </c>
      <c r="F132" s="99">
        <v>40448</v>
      </c>
      <c r="G132" s="63" t="s">
        <v>474</v>
      </c>
      <c r="H132" s="64">
        <v>35330</v>
      </c>
      <c r="I132" s="68">
        <v>0</v>
      </c>
      <c r="J132" s="68">
        <v>0</v>
      </c>
      <c r="K132" s="141">
        <v>46108</v>
      </c>
      <c r="L132" s="142">
        <f>654/4</f>
        <v>163.5</v>
      </c>
      <c r="M132" s="62">
        <f t="shared" si="0"/>
        <v>35493.5</v>
      </c>
      <c r="N132" s="62">
        <f t="shared" si="24"/>
        <v>10446</v>
      </c>
      <c r="O132" s="113">
        <f>495</f>
        <v>495</v>
      </c>
      <c r="P132" s="62">
        <v>0</v>
      </c>
      <c r="Q132" s="62">
        <f t="shared" si="1"/>
        <v>515</v>
      </c>
      <c r="R132" s="119">
        <f>187</f>
        <v>187</v>
      </c>
      <c r="S132" s="62">
        <v>8551</v>
      </c>
      <c r="T132" s="62">
        <v>342</v>
      </c>
      <c r="U132" s="62">
        <f t="shared" si="2"/>
        <v>20536</v>
      </c>
      <c r="V132" s="62">
        <f t="shared" si="3"/>
        <v>56029.5</v>
      </c>
      <c r="W132" s="112"/>
      <c r="X132" s="112"/>
      <c r="Y132" s="112"/>
      <c r="Z132" s="112"/>
      <c r="AA132" s="112"/>
      <c r="AB132" s="112"/>
      <c r="AC132" s="112"/>
      <c r="AD132" s="112"/>
      <c r="AE132" s="112"/>
      <c r="AF132" s="112"/>
      <c r="AG132" s="112"/>
      <c r="AH132" s="112"/>
      <c r="AI132" s="112"/>
      <c r="AJ132" s="112"/>
      <c r="AK132" s="112"/>
      <c r="AL132" s="112"/>
      <c r="AM132" s="112"/>
      <c r="AN132" s="112"/>
      <c r="AO132" s="112"/>
      <c r="AP132" s="112"/>
      <c r="AQ132" s="112"/>
      <c r="AR132" s="112"/>
      <c r="AS132" s="112"/>
      <c r="AT132" s="112"/>
      <c r="AU132" s="112"/>
      <c r="AV132" s="112"/>
      <c r="AW132" s="112"/>
      <c r="AX132" s="112"/>
      <c r="AY132" s="112"/>
      <c r="AZ132" s="112"/>
      <c r="BA132" s="112"/>
      <c r="BB132" s="112"/>
      <c r="BC132" s="112"/>
      <c r="BD132" s="112"/>
      <c r="BE132" s="112"/>
      <c r="BF132" s="112"/>
    </row>
    <row r="133" spans="1:76">
      <c r="A133" s="38">
        <v>121</v>
      </c>
      <c r="B133" s="50" t="s">
        <v>200</v>
      </c>
      <c r="C133" s="45" t="s">
        <v>198</v>
      </c>
      <c r="D133" s="76" t="s">
        <v>92</v>
      </c>
      <c r="E133" s="81"/>
      <c r="F133" s="99"/>
      <c r="G133" s="45" t="s">
        <v>167</v>
      </c>
      <c r="H133" s="64">
        <v>0</v>
      </c>
      <c r="I133" s="68">
        <v>0</v>
      </c>
      <c r="J133" s="40">
        <v>0</v>
      </c>
      <c r="K133" s="164"/>
      <c r="L133" s="165">
        <v>0</v>
      </c>
      <c r="M133" s="44">
        <f t="shared" si="0"/>
        <v>0</v>
      </c>
      <c r="N133" s="44">
        <f t="shared" si="24"/>
        <v>0</v>
      </c>
      <c r="O133" s="44">
        <v>0</v>
      </c>
      <c r="P133" s="44">
        <v>0</v>
      </c>
      <c r="Q133" s="44">
        <f t="shared" si="1"/>
        <v>0</v>
      </c>
      <c r="R133" s="44">
        <v>0</v>
      </c>
      <c r="S133" s="44">
        <v>0</v>
      </c>
      <c r="T133" s="44">
        <v>0</v>
      </c>
      <c r="U133" s="44">
        <f t="shared" si="2"/>
        <v>0</v>
      </c>
      <c r="V133" s="44">
        <f t="shared" si="3"/>
        <v>0</v>
      </c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5"/>
      <c r="BH133" s="5"/>
      <c r="BI133" s="5"/>
      <c r="BJ133" s="5"/>
      <c r="BK133" s="5"/>
      <c r="BL133" s="5"/>
      <c r="BM133" s="5"/>
      <c r="BN133" s="5"/>
      <c r="BO133" s="5"/>
      <c r="BP133" s="5"/>
      <c r="BQ133" s="5"/>
      <c r="BR133" s="5"/>
      <c r="BS133" s="5"/>
      <c r="BT133" s="5"/>
      <c r="BU133" s="5"/>
      <c r="BV133" s="5"/>
      <c r="BW133" s="5"/>
      <c r="BX133" s="5"/>
    </row>
    <row r="134" spans="1:76">
      <c r="A134" s="38">
        <v>122</v>
      </c>
      <c r="B134" s="50" t="s">
        <v>201</v>
      </c>
      <c r="C134" s="45" t="s">
        <v>202</v>
      </c>
      <c r="D134" s="76" t="s">
        <v>92</v>
      </c>
      <c r="E134" s="81"/>
      <c r="F134" s="99"/>
      <c r="G134" s="45" t="s">
        <v>143</v>
      </c>
      <c r="H134" s="64">
        <v>0</v>
      </c>
      <c r="I134" s="68">
        <v>0</v>
      </c>
      <c r="J134" s="40">
        <v>0</v>
      </c>
      <c r="K134" s="164"/>
      <c r="L134" s="165">
        <v>0</v>
      </c>
      <c r="M134" s="44">
        <f t="shared" si="0"/>
        <v>0</v>
      </c>
      <c r="N134" s="44">
        <f t="shared" si="24"/>
        <v>0</v>
      </c>
      <c r="O134" s="44">
        <v>0</v>
      </c>
      <c r="P134" s="44">
        <v>0</v>
      </c>
      <c r="Q134" s="44">
        <f t="shared" si="1"/>
        <v>0</v>
      </c>
      <c r="R134" s="44">
        <v>0</v>
      </c>
      <c r="S134" s="44">
        <v>0</v>
      </c>
      <c r="T134" s="44">
        <v>0</v>
      </c>
      <c r="U134" s="44">
        <f t="shared" si="2"/>
        <v>0</v>
      </c>
      <c r="V134" s="44">
        <f t="shared" si="3"/>
        <v>0</v>
      </c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5"/>
      <c r="BH134" s="5"/>
      <c r="BI134" s="5"/>
      <c r="BJ134" s="5"/>
      <c r="BK134" s="5"/>
      <c r="BL134" s="5"/>
      <c r="BM134" s="5"/>
      <c r="BN134" s="5"/>
      <c r="BO134" s="5"/>
      <c r="BP134" s="5"/>
      <c r="BQ134" s="5"/>
      <c r="BR134" s="5"/>
      <c r="BS134" s="5"/>
      <c r="BT134" s="5"/>
      <c r="BU134" s="5"/>
      <c r="BV134" s="5"/>
      <c r="BW134" s="5"/>
      <c r="BX134" s="5"/>
    </row>
    <row r="135" spans="1:76">
      <c r="A135" s="38">
        <v>123</v>
      </c>
      <c r="B135" s="50" t="s">
        <v>203</v>
      </c>
      <c r="C135" s="45" t="s">
        <v>204</v>
      </c>
      <c r="D135" s="76" t="s">
        <v>92</v>
      </c>
      <c r="E135" s="81"/>
      <c r="F135" s="99"/>
      <c r="G135" s="45" t="s">
        <v>157</v>
      </c>
      <c r="H135" s="64">
        <v>0</v>
      </c>
      <c r="I135" s="68">
        <v>0</v>
      </c>
      <c r="J135" s="40">
        <v>0</v>
      </c>
      <c r="K135" s="164"/>
      <c r="L135" s="165">
        <v>0</v>
      </c>
      <c r="M135" s="44">
        <f t="shared" si="0"/>
        <v>0</v>
      </c>
      <c r="N135" s="44">
        <f t="shared" si="24"/>
        <v>0</v>
      </c>
      <c r="O135" s="44">
        <v>0</v>
      </c>
      <c r="P135" s="44">
        <v>0</v>
      </c>
      <c r="Q135" s="44">
        <f t="shared" si="1"/>
        <v>0</v>
      </c>
      <c r="R135" s="44">
        <v>0</v>
      </c>
      <c r="S135" s="44">
        <v>0</v>
      </c>
      <c r="T135" s="44">
        <v>0</v>
      </c>
      <c r="U135" s="44">
        <f t="shared" si="2"/>
        <v>0</v>
      </c>
      <c r="V135" s="44">
        <f t="shared" si="3"/>
        <v>0</v>
      </c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5"/>
      <c r="BH135" s="5"/>
      <c r="BI135" s="5"/>
      <c r="BJ135" s="5"/>
      <c r="BK135" s="5"/>
      <c r="BL135" s="5"/>
      <c r="BM135" s="5"/>
      <c r="BN135" s="5"/>
      <c r="BO135" s="5"/>
      <c r="BP135" s="5"/>
      <c r="BQ135" s="5"/>
      <c r="BR135" s="5"/>
      <c r="BS135" s="5"/>
      <c r="BT135" s="5"/>
      <c r="BU135" s="5"/>
      <c r="BV135" s="5"/>
      <c r="BW135" s="5"/>
      <c r="BX135" s="5"/>
    </row>
    <row r="136" spans="1:76">
      <c r="A136" s="110">
        <v>124</v>
      </c>
      <c r="B136" s="70" t="s">
        <v>205</v>
      </c>
      <c r="C136" s="63" t="s">
        <v>206</v>
      </c>
      <c r="D136" s="76" t="s">
        <v>257</v>
      </c>
      <c r="E136" s="81" t="s">
        <v>417</v>
      </c>
      <c r="F136" s="99">
        <v>35205</v>
      </c>
      <c r="G136" s="63" t="s">
        <v>86</v>
      </c>
      <c r="H136" s="64">
        <f>77783</f>
        <v>77783</v>
      </c>
      <c r="I136" s="68">
        <v>0</v>
      </c>
      <c r="J136" s="68">
        <v>0</v>
      </c>
      <c r="K136" s="141">
        <v>45949</v>
      </c>
      <c r="L136" s="142">
        <v>0</v>
      </c>
      <c r="M136" s="62">
        <f t="shared" si="0"/>
        <v>77783</v>
      </c>
      <c r="N136" s="62">
        <f t="shared" si="24"/>
        <v>22892</v>
      </c>
      <c r="O136" s="113">
        <f>495</f>
        <v>495</v>
      </c>
      <c r="P136" s="62">
        <v>0</v>
      </c>
      <c r="Q136" s="62">
        <f t="shared" si="1"/>
        <v>1128</v>
      </c>
      <c r="R136" s="119">
        <f>187</f>
        <v>187</v>
      </c>
      <c r="S136" s="62">
        <v>8551</v>
      </c>
      <c r="T136" s="62">
        <v>342</v>
      </c>
      <c r="U136" s="62">
        <f t="shared" si="2"/>
        <v>33595</v>
      </c>
      <c r="V136" s="62">
        <f t="shared" si="3"/>
        <v>111378</v>
      </c>
      <c r="W136" s="112"/>
      <c r="X136" s="112"/>
      <c r="Y136" s="112"/>
      <c r="Z136" s="112"/>
      <c r="AA136" s="112"/>
      <c r="AB136" s="112"/>
      <c r="AC136" s="112"/>
      <c r="AD136" s="112"/>
      <c r="AE136" s="112"/>
      <c r="AF136" s="112"/>
      <c r="AG136" s="112"/>
      <c r="AH136" s="112"/>
      <c r="AI136" s="112"/>
      <c r="AJ136" s="112"/>
      <c r="AK136" s="112"/>
      <c r="AL136" s="112"/>
      <c r="AM136" s="112"/>
      <c r="AN136" s="112"/>
      <c r="AO136" s="112"/>
      <c r="AP136" s="112"/>
      <c r="AQ136" s="112"/>
      <c r="AR136" s="112"/>
      <c r="AS136" s="112"/>
      <c r="AT136" s="112"/>
      <c r="AU136" s="112"/>
      <c r="AV136" s="112"/>
      <c r="AW136" s="112"/>
      <c r="AX136" s="112"/>
      <c r="AY136" s="112"/>
      <c r="AZ136" s="112"/>
      <c r="BA136" s="112"/>
      <c r="BB136" s="112"/>
      <c r="BC136" s="112"/>
      <c r="BD136" s="112"/>
      <c r="BE136" s="112"/>
      <c r="BF136" s="112"/>
    </row>
    <row r="137" spans="1:76">
      <c r="A137" s="38">
        <v>125</v>
      </c>
      <c r="B137" s="50" t="s">
        <v>207</v>
      </c>
      <c r="C137" s="45" t="s">
        <v>208</v>
      </c>
      <c r="D137" s="76" t="s">
        <v>92</v>
      </c>
      <c r="E137" s="81"/>
      <c r="F137" s="99"/>
      <c r="G137" s="45" t="s">
        <v>143</v>
      </c>
      <c r="H137" s="64">
        <v>0</v>
      </c>
      <c r="I137" s="68">
        <v>0</v>
      </c>
      <c r="J137" s="40">
        <v>0</v>
      </c>
      <c r="K137" s="164"/>
      <c r="L137" s="165">
        <v>0</v>
      </c>
      <c r="M137" s="44">
        <f t="shared" si="0"/>
        <v>0</v>
      </c>
      <c r="N137" s="44">
        <f t="shared" si="24"/>
        <v>0</v>
      </c>
      <c r="O137" s="44">
        <v>0</v>
      </c>
      <c r="P137" s="44">
        <v>0</v>
      </c>
      <c r="Q137" s="44">
        <f t="shared" si="1"/>
        <v>0</v>
      </c>
      <c r="R137" s="44">
        <v>0</v>
      </c>
      <c r="S137" s="44">
        <v>0</v>
      </c>
      <c r="T137" s="44">
        <v>0</v>
      </c>
      <c r="U137" s="44">
        <f t="shared" si="2"/>
        <v>0</v>
      </c>
      <c r="V137" s="44">
        <f t="shared" si="3"/>
        <v>0</v>
      </c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5"/>
      <c r="BH137" s="5"/>
      <c r="BI137" s="5"/>
      <c r="BJ137" s="5"/>
      <c r="BK137" s="5"/>
      <c r="BL137" s="5"/>
      <c r="BM137" s="5"/>
      <c r="BN137" s="5"/>
      <c r="BO137" s="5"/>
      <c r="BP137" s="5"/>
      <c r="BQ137" s="5"/>
      <c r="BR137" s="5"/>
      <c r="BS137" s="5"/>
      <c r="BT137" s="5"/>
      <c r="BU137" s="5"/>
      <c r="BV137" s="5"/>
      <c r="BW137" s="5"/>
      <c r="BX137" s="5"/>
    </row>
    <row r="138" spans="1:76">
      <c r="A138" s="110">
        <v>126</v>
      </c>
      <c r="B138" s="70" t="s">
        <v>209</v>
      </c>
      <c r="C138" s="63" t="s">
        <v>211</v>
      </c>
      <c r="D138" s="76" t="s">
        <v>461</v>
      </c>
      <c r="E138" s="81" t="s">
        <v>419</v>
      </c>
      <c r="F138" s="99">
        <v>42735</v>
      </c>
      <c r="G138" s="63" t="s">
        <v>472</v>
      </c>
      <c r="H138" s="64">
        <v>42940</v>
      </c>
      <c r="I138" s="68">
        <v>0</v>
      </c>
      <c r="J138" s="68">
        <v>0</v>
      </c>
      <c r="K138" s="141">
        <v>46009</v>
      </c>
      <c r="L138" s="142">
        <f>1356/4</f>
        <v>339</v>
      </c>
      <c r="M138" s="62">
        <f>(+H138+I138+J138+L138)</f>
        <v>43279</v>
      </c>
      <c r="N138" s="62">
        <f t="shared" si="24"/>
        <v>12737</v>
      </c>
      <c r="O138" s="113">
        <f>495</f>
        <v>495</v>
      </c>
      <c r="P138" s="62">
        <v>0</v>
      </c>
      <c r="Q138" s="62">
        <f t="shared" si="1"/>
        <v>628</v>
      </c>
      <c r="R138" s="119">
        <f>187</f>
        <v>187</v>
      </c>
      <c r="S138" s="62">
        <v>11192</v>
      </c>
      <c r="T138" s="62">
        <v>653</v>
      </c>
      <c r="U138" s="62">
        <f t="shared" si="2"/>
        <v>25892</v>
      </c>
      <c r="V138" s="62">
        <f t="shared" si="3"/>
        <v>69171</v>
      </c>
      <c r="W138" s="112"/>
      <c r="X138" s="112"/>
      <c r="Y138" s="112"/>
      <c r="Z138" s="112"/>
      <c r="AA138" s="112"/>
      <c r="AB138" s="112"/>
      <c r="AC138" s="112"/>
      <c r="AD138" s="112"/>
      <c r="AE138" s="112"/>
      <c r="AF138" s="112"/>
      <c r="AG138" s="112"/>
      <c r="AH138" s="112"/>
      <c r="AI138" s="112"/>
      <c r="AJ138" s="112"/>
      <c r="AK138" s="112"/>
      <c r="AL138" s="112"/>
      <c r="AM138" s="112"/>
      <c r="AN138" s="112"/>
      <c r="AO138" s="112"/>
      <c r="AP138" s="112"/>
      <c r="AQ138" s="112"/>
      <c r="AR138" s="112"/>
      <c r="AS138" s="112"/>
      <c r="AT138" s="112"/>
      <c r="AU138" s="112"/>
      <c r="AV138" s="112"/>
      <c r="AW138" s="112"/>
      <c r="AX138" s="112"/>
      <c r="AY138" s="112"/>
      <c r="AZ138" s="112"/>
      <c r="BA138" s="112"/>
      <c r="BB138" s="112"/>
      <c r="BC138" s="112"/>
      <c r="BD138" s="112"/>
      <c r="BE138" s="112"/>
      <c r="BF138" s="112"/>
    </row>
    <row r="139" spans="1:76">
      <c r="A139" s="110">
        <v>127</v>
      </c>
      <c r="B139" s="70" t="s">
        <v>210</v>
      </c>
      <c r="C139" s="63" t="s">
        <v>211</v>
      </c>
      <c r="D139" s="65" t="s">
        <v>462</v>
      </c>
      <c r="E139" s="81" t="s">
        <v>419</v>
      </c>
      <c r="F139" s="99">
        <v>44930</v>
      </c>
      <c r="G139" s="63" t="s">
        <v>93</v>
      </c>
      <c r="H139" s="64">
        <f>41372</f>
        <v>41372</v>
      </c>
      <c r="I139" s="68">
        <v>0</v>
      </c>
      <c r="J139" s="68">
        <v>0</v>
      </c>
      <c r="K139" s="141">
        <v>46021</v>
      </c>
      <c r="L139" s="142">
        <f>1307/4</f>
        <v>326.75</v>
      </c>
      <c r="M139" s="62">
        <f t="shared" si="0"/>
        <v>41698.75</v>
      </c>
      <c r="N139" s="62">
        <f t="shared" si="24"/>
        <v>12272</v>
      </c>
      <c r="O139" s="113">
        <f>495</f>
        <v>495</v>
      </c>
      <c r="P139" s="62">
        <v>0</v>
      </c>
      <c r="Q139" s="62">
        <f t="shared" si="1"/>
        <v>605</v>
      </c>
      <c r="R139" s="119">
        <f>187</f>
        <v>187</v>
      </c>
      <c r="S139" s="62">
        <v>0</v>
      </c>
      <c r="T139" s="62">
        <v>0</v>
      </c>
      <c r="U139" s="62">
        <f t="shared" si="2"/>
        <v>13559</v>
      </c>
      <c r="V139" s="62">
        <f t="shared" si="3"/>
        <v>55257.75</v>
      </c>
      <c r="W139" s="112"/>
      <c r="X139" s="112"/>
      <c r="Y139" s="112"/>
      <c r="Z139" s="112"/>
      <c r="AA139" s="112"/>
      <c r="AB139" s="112"/>
      <c r="AC139" s="112"/>
      <c r="AD139" s="112"/>
      <c r="AE139" s="112"/>
      <c r="AF139" s="112"/>
      <c r="AG139" s="112"/>
      <c r="AH139" s="112"/>
      <c r="AI139" s="112"/>
      <c r="AJ139" s="112"/>
      <c r="AK139" s="112"/>
      <c r="AL139" s="112"/>
      <c r="AM139" s="112"/>
      <c r="AN139" s="112"/>
      <c r="AO139" s="112"/>
      <c r="AP139" s="112"/>
      <c r="AQ139" s="112"/>
      <c r="AR139" s="112"/>
      <c r="AS139" s="112"/>
      <c r="AT139" s="112"/>
      <c r="AU139" s="112"/>
      <c r="AV139" s="112"/>
      <c r="AW139" s="112"/>
      <c r="AX139" s="112"/>
      <c r="AY139" s="112"/>
      <c r="AZ139" s="112"/>
      <c r="BA139" s="112"/>
      <c r="BB139" s="112"/>
      <c r="BC139" s="112"/>
      <c r="BD139" s="112"/>
      <c r="BE139" s="112"/>
      <c r="BF139" s="112"/>
    </row>
    <row r="140" spans="1:76">
      <c r="A140" s="110">
        <v>128</v>
      </c>
      <c r="B140" s="70" t="s">
        <v>212</v>
      </c>
      <c r="C140" s="63" t="s">
        <v>208</v>
      </c>
      <c r="D140" s="76" t="s">
        <v>213</v>
      </c>
      <c r="E140" s="81" t="s">
        <v>417</v>
      </c>
      <c r="F140" s="99">
        <v>43787</v>
      </c>
      <c r="G140" s="63" t="s">
        <v>473</v>
      </c>
      <c r="H140" s="64">
        <v>42388</v>
      </c>
      <c r="I140" s="68">
        <v>0</v>
      </c>
      <c r="J140" s="68">
        <v>0</v>
      </c>
      <c r="K140" s="141">
        <v>45885</v>
      </c>
      <c r="L140" s="142">
        <f>268/4</f>
        <v>67</v>
      </c>
      <c r="M140" s="62">
        <f t="shared" si="0"/>
        <v>42455</v>
      </c>
      <c r="N140" s="62">
        <f t="shared" si="24"/>
        <v>12495</v>
      </c>
      <c r="O140" s="113">
        <f>495</f>
        <v>495</v>
      </c>
      <c r="P140" s="62">
        <v>0</v>
      </c>
      <c r="Q140" s="62">
        <f t="shared" si="1"/>
        <v>616</v>
      </c>
      <c r="R140" s="119">
        <f>187</f>
        <v>187</v>
      </c>
      <c r="S140" s="62">
        <v>21918</v>
      </c>
      <c r="T140" s="62">
        <v>653</v>
      </c>
      <c r="U140" s="62">
        <f t="shared" si="2"/>
        <v>36364</v>
      </c>
      <c r="V140" s="62">
        <f t="shared" si="3"/>
        <v>78819</v>
      </c>
      <c r="W140" s="112"/>
      <c r="X140" s="112"/>
      <c r="Y140" s="112"/>
      <c r="Z140" s="112"/>
      <c r="AA140" s="112"/>
      <c r="AB140" s="112"/>
      <c r="AC140" s="112"/>
      <c r="AD140" s="112"/>
      <c r="AE140" s="112"/>
      <c r="AF140" s="112"/>
      <c r="AG140" s="112"/>
      <c r="AH140" s="112"/>
      <c r="AI140" s="112"/>
      <c r="AJ140" s="112"/>
      <c r="AK140" s="112"/>
      <c r="AL140" s="112"/>
      <c r="AM140" s="112"/>
      <c r="AN140" s="112"/>
      <c r="AO140" s="112"/>
      <c r="AP140" s="112"/>
      <c r="AQ140" s="112"/>
      <c r="AR140" s="112"/>
      <c r="AS140" s="112"/>
      <c r="AT140" s="112"/>
      <c r="AU140" s="112"/>
      <c r="AV140" s="112"/>
      <c r="AW140" s="112"/>
      <c r="AX140" s="112"/>
      <c r="AY140" s="112"/>
      <c r="AZ140" s="112"/>
      <c r="BA140" s="112"/>
      <c r="BB140" s="112"/>
      <c r="BC140" s="112"/>
      <c r="BD140" s="112"/>
      <c r="BE140" s="112"/>
      <c r="BF140" s="112"/>
    </row>
    <row r="141" spans="1:76">
      <c r="A141" s="110">
        <v>129</v>
      </c>
      <c r="B141" s="70" t="s">
        <v>214</v>
      </c>
      <c r="C141" s="63" t="s">
        <v>208</v>
      </c>
      <c r="D141" s="76" t="s">
        <v>215</v>
      </c>
      <c r="E141" s="81" t="s">
        <v>417</v>
      </c>
      <c r="F141" s="99">
        <v>38261</v>
      </c>
      <c r="G141" s="63" t="s">
        <v>115</v>
      </c>
      <c r="H141" s="64">
        <v>48894</v>
      </c>
      <c r="I141" s="68">
        <v>0</v>
      </c>
      <c r="J141" s="68">
        <v>0</v>
      </c>
      <c r="K141" s="141">
        <v>46111</v>
      </c>
      <c r="L141" s="142">
        <f>905/4</f>
        <v>226.25</v>
      </c>
      <c r="M141" s="62">
        <f t="shared" si="0"/>
        <v>49120.25</v>
      </c>
      <c r="N141" s="62">
        <f t="shared" si="24"/>
        <v>14456</v>
      </c>
      <c r="O141" s="113">
        <f>495</f>
        <v>495</v>
      </c>
      <c r="P141" s="62">
        <v>0</v>
      </c>
      <c r="Q141" s="62">
        <f t="shared" si="1"/>
        <v>712</v>
      </c>
      <c r="R141" s="119">
        <f>187</f>
        <v>187</v>
      </c>
      <c r="S141" s="62">
        <v>11192</v>
      </c>
      <c r="T141" s="62">
        <v>653</v>
      </c>
      <c r="U141" s="62">
        <f t="shared" si="2"/>
        <v>27695</v>
      </c>
      <c r="V141" s="62">
        <f t="shared" si="3"/>
        <v>76815.25</v>
      </c>
      <c r="W141" s="112"/>
      <c r="X141" s="112"/>
      <c r="Y141" s="112"/>
      <c r="Z141" s="112"/>
      <c r="AA141" s="112"/>
      <c r="AB141" s="112"/>
      <c r="AC141" s="112"/>
      <c r="AD141" s="112"/>
      <c r="AE141" s="112"/>
      <c r="AF141" s="112"/>
      <c r="AG141" s="112"/>
      <c r="AH141" s="112"/>
      <c r="AI141" s="112"/>
      <c r="AJ141" s="112"/>
      <c r="AK141" s="112"/>
      <c r="AL141" s="112"/>
      <c r="AM141" s="112"/>
      <c r="AN141" s="112"/>
      <c r="AO141" s="112"/>
      <c r="AP141" s="112"/>
      <c r="AQ141" s="112"/>
      <c r="AR141" s="112"/>
      <c r="AS141" s="112"/>
      <c r="AT141" s="112"/>
      <c r="AU141" s="112"/>
      <c r="AV141" s="112"/>
      <c r="AW141" s="112"/>
      <c r="AX141" s="112"/>
      <c r="AY141" s="112"/>
      <c r="AZ141" s="112"/>
      <c r="BA141" s="112"/>
      <c r="BB141" s="112"/>
      <c r="BC141" s="112"/>
      <c r="BD141" s="112"/>
      <c r="BE141" s="112"/>
      <c r="BF141" s="112"/>
    </row>
    <row r="142" spans="1:76">
      <c r="A142" s="38">
        <v>130</v>
      </c>
      <c r="B142" s="50" t="s">
        <v>216</v>
      </c>
      <c r="C142" s="45" t="s">
        <v>217</v>
      </c>
      <c r="D142" s="78" t="s">
        <v>92</v>
      </c>
      <c r="E142" s="81"/>
      <c r="F142" s="99"/>
      <c r="G142" s="45" t="s">
        <v>78</v>
      </c>
      <c r="H142" s="64">
        <v>0</v>
      </c>
      <c r="I142" s="68">
        <v>0</v>
      </c>
      <c r="J142" s="40">
        <v>0</v>
      </c>
      <c r="K142" s="164"/>
      <c r="L142" s="165">
        <v>0</v>
      </c>
      <c r="M142" s="44">
        <f t="shared" si="0"/>
        <v>0</v>
      </c>
      <c r="N142" s="44">
        <f t="shared" si="24"/>
        <v>0</v>
      </c>
      <c r="O142" s="44">
        <v>0</v>
      </c>
      <c r="P142" s="44">
        <v>0</v>
      </c>
      <c r="Q142" s="44">
        <f t="shared" si="1"/>
        <v>0</v>
      </c>
      <c r="R142" s="44">
        <v>0</v>
      </c>
      <c r="S142" s="44">
        <v>0</v>
      </c>
      <c r="T142" s="44">
        <v>0</v>
      </c>
      <c r="U142" s="44">
        <f t="shared" si="2"/>
        <v>0</v>
      </c>
      <c r="V142" s="44">
        <f t="shared" si="3"/>
        <v>0</v>
      </c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5"/>
      <c r="BH142" s="5"/>
      <c r="BI142" s="5"/>
      <c r="BJ142" s="5"/>
      <c r="BK142" s="5"/>
      <c r="BL142" s="5"/>
      <c r="BM142" s="5"/>
      <c r="BN142" s="5"/>
      <c r="BO142" s="5"/>
      <c r="BP142" s="5"/>
      <c r="BQ142" s="5"/>
      <c r="BR142" s="5"/>
      <c r="BS142" s="5"/>
      <c r="BT142" s="5"/>
      <c r="BU142" s="5"/>
      <c r="BV142" s="5"/>
      <c r="BW142" s="5"/>
      <c r="BX142" s="5"/>
    </row>
    <row r="143" spans="1:76">
      <c r="A143" s="38">
        <v>131</v>
      </c>
      <c r="B143" s="50" t="s">
        <v>218</v>
      </c>
      <c r="C143" s="45" t="s">
        <v>217</v>
      </c>
      <c r="D143" s="78" t="s">
        <v>92</v>
      </c>
      <c r="E143" s="81"/>
      <c r="F143" s="99"/>
      <c r="G143" s="45" t="s">
        <v>78</v>
      </c>
      <c r="H143" s="64">
        <v>0</v>
      </c>
      <c r="I143" s="68">
        <v>0</v>
      </c>
      <c r="J143" s="40">
        <v>0</v>
      </c>
      <c r="K143" s="164"/>
      <c r="L143" s="165">
        <v>0</v>
      </c>
      <c r="M143" s="44">
        <f t="shared" si="0"/>
        <v>0</v>
      </c>
      <c r="N143" s="44">
        <f t="shared" si="24"/>
        <v>0</v>
      </c>
      <c r="O143" s="44">
        <v>0</v>
      </c>
      <c r="P143" s="44">
        <v>0</v>
      </c>
      <c r="Q143" s="44">
        <f t="shared" si="1"/>
        <v>0</v>
      </c>
      <c r="R143" s="44">
        <v>0</v>
      </c>
      <c r="S143" s="44">
        <v>0</v>
      </c>
      <c r="T143" s="44">
        <v>0</v>
      </c>
      <c r="U143" s="44">
        <f t="shared" si="2"/>
        <v>0</v>
      </c>
      <c r="V143" s="44">
        <f t="shared" si="3"/>
        <v>0</v>
      </c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5"/>
      <c r="BH143" s="5"/>
      <c r="BI143" s="5"/>
      <c r="BJ143" s="5"/>
      <c r="BK143" s="5"/>
      <c r="BL143" s="5"/>
      <c r="BM143" s="5"/>
      <c r="BN143" s="5"/>
      <c r="BO143" s="5"/>
      <c r="BP143" s="5"/>
      <c r="BQ143" s="5"/>
      <c r="BR143" s="5"/>
      <c r="BS143" s="5"/>
      <c r="BT143" s="5"/>
      <c r="BU143" s="5"/>
      <c r="BV143" s="5"/>
      <c r="BW143" s="5"/>
      <c r="BX143" s="5"/>
    </row>
    <row r="144" spans="1:76">
      <c r="A144" s="38">
        <v>132</v>
      </c>
      <c r="B144" s="50" t="s">
        <v>219</v>
      </c>
      <c r="C144" s="45" t="s">
        <v>217</v>
      </c>
      <c r="D144" s="78" t="s">
        <v>92</v>
      </c>
      <c r="E144" s="81"/>
      <c r="F144" s="99"/>
      <c r="G144" s="45" t="s">
        <v>78</v>
      </c>
      <c r="H144" s="64">
        <v>0</v>
      </c>
      <c r="I144" s="68">
        <v>0</v>
      </c>
      <c r="J144" s="40">
        <v>0</v>
      </c>
      <c r="K144" s="164"/>
      <c r="L144" s="165">
        <v>0</v>
      </c>
      <c r="M144" s="44">
        <f t="shared" si="0"/>
        <v>0</v>
      </c>
      <c r="N144" s="44">
        <f t="shared" si="24"/>
        <v>0</v>
      </c>
      <c r="O144" s="44">
        <v>0</v>
      </c>
      <c r="P144" s="44">
        <v>0</v>
      </c>
      <c r="Q144" s="44">
        <f t="shared" si="1"/>
        <v>0</v>
      </c>
      <c r="R144" s="44">
        <v>0</v>
      </c>
      <c r="S144" s="44">
        <v>0</v>
      </c>
      <c r="T144" s="44">
        <v>0</v>
      </c>
      <c r="U144" s="44">
        <f t="shared" si="2"/>
        <v>0</v>
      </c>
      <c r="V144" s="44">
        <f t="shared" si="3"/>
        <v>0</v>
      </c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5"/>
      <c r="BH144" s="5"/>
      <c r="BI144" s="5"/>
      <c r="BJ144" s="5"/>
      <c r="BK144" s="5"/>
      <c r="BL144" s="5"/>
      <c r="BM144" s="5"/>
      <c r="BN144" s="5"/>
      <c r="BO144" s="5"/>
      <c r="BP144" s="5"/>
      <c r="BQ144" s="5"/>
      <c r="BR144" s="5"/>
      <c r="BS144" s="5"/>
      <c r="BT144" s="5"/>
      <c r="BU144" s="5"/>
      <c r="BV144" s="5"/>
      <c r="BW144" s="5"/>
      <c r="BX144" s="5"/>
    </row>
    <row r="145" spans="1:76">
      <c r="A145" s="38">
        <v>133</v>
      </c>
      <c r="B145" s="50" t="s">
        <v>220</v>
      </c>
      <c r="C145" s="45" t="s">
        <v>217</v>
      </c>
      <c r="D145" s="78" t="s">
        <v>92</v>
      </c>
      <c r="E145" s="81"/>
      <c r="F145" s="99"/>
      <c r="G145" s="45" t="s">
        <v>78</v>
      </c>
      <c r="H145" s="64">
        <v>0</v>
      </c>
      <c r="I145" s="68">
        <v>0</v>
      </c>
      <c r="J145" s="40">
        <v>0</v>
      </c>
      <c r="K145" s="164"/>
      <c r="L145" s="165">
        <v>0</v>
      </c>
      <c r="M145" s="44">
        <f t="shared" si="0"/>
        <v>0</v>
      </c>
      <c r="N145" s="44">
        <f t="shared" si="24"/>
        <v>0</v>
      </c>
      <c r="O145" s="44">
        <v>0</v>
      </c>
      <c r="P145" s="44">
        <v>0</v>
      </c>
      <c r="Q145" s="44">
        <f t="shared" si="1"/>
        <v>0</v>
      </c>
      <c r="R145" s="44">
        <v>0</v>
      </c>
      <c r="S145" s="44">
        <v>0</v>
      </c>
      <c r="T145" s="44">
        <v>0</v>
      </c>
      <c r="U145" s="44">
        <f t="shared" si="2"/>
        <v>0</v>
      </c>
      <c r="V145" s="44">
        <f t="shared" si="3"/>
        <v>0</v>
      </c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5"/>
      <c r="BH145" s="5"/>
      <c r="BI145" s="5"/>
      <c r="BJ145" s="5"/>
      <c r="BK145" s="5"/>
      <c r="BL145" s="5"/>
      <c r="BM145" s="5"/>
      <c r="BN145" s="5"/>
      <c r="BO145" s="5"/>
      <c r="BP145" s="5"/>
      <c r="BQ145" s="5"/>
      <c r="BR145" s="5"/>
      <c r="BS145" s="5"/>
      <c r="BT145" s="5"/>
      <c r="BU145" s="5"/>
      <c r="BV145" s="5"/>
      <c r="BW145" s="5"/>
      <c r="BX145" s="5"/>
    </row>
    <row r="146" spans="1:76">
      <c r="A146" s="38">
        <v>134</v>
      </c>
      <c r="B146" s="50" t="s">
        <v>221</v>
      </c>
      <c r="C146" s="45" t="s">
        <v>281</v>
      </c>
      <c r="D146" s="76" t="s">
        <v>254</v>
      </c>
      <c r="E146" s="81" t="s">
        <v>419</v>
      </c>
      <c r="F146" s="99">
        <v>45159</v>
      </c>
      <c r="G146" s="45" t="s">
        <v>222</v>
      </c>
      <c r="H146" s="64">
        <f>21678</f>
        <v>21678</v>
      </c>
      <c r="I146" s="68">
        <v>0</v>
      </c>
      <c r="J146" s="40">
        <v>0</v>
      </c>
      <c r="K146" s="164"/>
      <c r="L146" s="165">
        <v>0</v>
      </c>
      <c r="M146" s="44">
        <f t="shared" si="0"/>
        <v>21678</v>
      </c>
      <c r="N146" s="44">
        <f t="shared" si="24"/>
        <v>6380</v>
      </c>
      <c r="O146" s="42">
        <f>495</f>
        <v>495</v>
      </c>
      <c r="P146" s="44">
        <v>0</v>
      </c>
      <c r="Q146" s="44">
        <f t="shared" si="1"/>
        <v>314</v>
      </c>
      <c r="R146" s="107">
        <f>187</f>
        <v>187</v>
      </c>
      <c r="S146" s="44">
        <v>0</v>
      </c>
      <c r="T146" s="44">
        <v>0</v>
      </c>
      <c r="U146" s="44">
        <f t="shared" si="2"/>
        <v>7376</v>
      </c>
      <c r="V146" s="44">
        <f t="shared" si="3"/>
        <v>29054</v>
      </c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5"/>
      <c r="BH146" s="5"/>
      <c r="BI146" s="5"/>
      <c r="BJ146" s="5"/>
      <c r="BK146" s="5"/>
      <c r="BL146" s="5"/>
      <c r="BM146" s="5"/>
      <c r="BN146" s="5"/>
      <c r="BO146" s="5"/>
      <c r="BP146" s="5"/>
      <c r="BQ146" s="5"/>
      <c r="BR146" s="5"/>
      <c r="BS146" s="5"/>
      <c r="BT146" s="5"/>
      <c r="BU146" s="5"/>
      <c r="BV146" s="5"/>
      <c r="BW146" s="5"/>
      <c r="BX146" s="5"/>
    </row>
    <row r="147" spans="1:76">
      <c r="A147" s="110">
        <v>135</v>
      </c>
      <c r="B147" s="70" t="s">
        <v>223</v>
      </c>
      <c r="C147" s="63" t="s">
        <v>224</v>
      </c>
      <c r="D147" s="78" t="s">
        <v>386</v>
      </c>
      <c r="E147" s="81" t="s">
        <v>419</v>
      </c>
      <c r="F147" s="99">
        <v>44249</v>
      </c>
      <c r="G147" s="63" t="s">
        <v>472</v>
      </c>
      <c r="H147" s="64">
        <v>42940</v>
      </c>
      <c r="I147" s="68">
        <v>0</v>
      </c>
      <c r="J147" s="68">
        <v>0</v>
      </c>
      <c r="K147" s="141">
        <v>46134</v>
      </c>
      <c r="L147" s="142">
        <f>814/4</f>
        <v>203.5</v>
      </c>
      <c r="M147" s="62">
        <f t="shared" si="0"/>
        <v>43143.5</v>
      </c>
      <c r="N147" s="62">
        <f t="shared" si="24"/>
        <v>12697</v>
      </c>
      <c r="O147" s="113">
        <f>495</f>
        <v>495</v>
      </c>
      <c r="P147" s="62">
        <v>0</v>
      </c>
      <c r="Q147" s="62">
        <f t="shared" si="1"/>
        <v>626</v>
      </c>
      <c r="R147" s="119">
        <f>187</f>
        <v>187</v>
      </c>
      <c r="S147" s="62">
        <v>4801</v>
      </c>
      <c r="T147" s="62">
        <v>342</v>
      </c>
      <c r="U147" s="62">
        <f t="shared" si="2"/>
        <v>19148</v>
      </c>
      <c r="V147" s="62">
        <f t="shared" si="3"/>
        <v>62291.5</v>
      </c>
      <c r="W147" s="112"/>
      <c r="X147" s="112"/>
      <c r="Y147" s="112"/>
      <c r="Z147" s="112"/>
      <c r="AA147" s="112"/>
      <c r="AB147" s="112"/>
      <c r="AC147" s="112"/>
      <c r="AD147" s="112"/>
      <c r="AE147" s="112"/>
      <c r="AF147" s="112"/>
      <c r="AG147" s="112"/>
      <c r="AH147" s="112"/>
      <c r="AI147" s="112"/>
      <c r="AJ147" s="112"/>
      <c r="AK147" s="112"/>
      <c r="AL147" s="112"/>
      <c r="AM147" s="112"/>
      <c r="AN147" s="112"/>
      <c r="AO147" s="112"/>
      <c r="AP147" s="112"/>
      <c r="AQ147" s="112"/>
      <c r="AR147" s="112"/>
      <c r="AS147" s="112"/>
      <c r="AT147" s="112"/>
      <c r="AU147" s="112"/>
      <c r="AV147" s="112"/>
      <c r="AW147" s="112"/>
      <c r="AX147" s="112"/>
      <c r="AY147" s="112"/>
      <c r="AZ147" s="112"/>
      <c r="BA147" s="112"/>
      <c r="BB147" s="112"/>
      <c r="BC147" s="112"/>
      <c r="BD147" s="112"/>
      <c r="BE147" s="112"/>
      <c r="BF147" s="112"/>
    </row>
    <row r="148" spans="1:76">
      <c r="A148" s="110">
        <v>136</v>
      </c>
      <c r="B148" s="70" t="s">
        <v>225</v>
      </c>
      <c r="C148" s="63" t="s">
        <v>208</v>
      </c>
      <c r="D148" s="76" t="s">
        <v>434</v>
      </c>
      <c r="E148" s="81" t="s">
        <v>417</v>
      </c>
      <c r="F148" s="99">
        <v>43678</v>
      </c>
      <c r="G148" s="63" t="s">
        <v>473</v>
      </c>
      <c r="H148" s="64">
        <v>42388</v>
      </c>
      <c r="I148" s="68">
        <v>0</v>
      </c>
      <c r="J148" s="68">
        <v>0</v>
      </c>
      <c r="K148" s="141">
        <v>46067</v>
      </c>
      <c r="L148" s="142">
        <f>1071/4</f>
        <v>267.75</v>
      </c>
      <c r="M148" s="62">
        <f t="shared" si="0"/>
        <v>42655.75</v>
      </c>
      <c r="N148" s="62">
        <f t="shared" si="24"/>
        <v>12554</v>
      </c>
      <c r="O148" s="113">
        <f>495</f>
        <v>495</v>
      </c>
      <c r="P148" s="62">
        <v>0</v>
      </c>
      <c r="Q148" s="62">
        <f t="shared" si="1"/>
        <v>619</v>
      </c>
      <c r="R148" s="119">
        <f>187</f>
        <v>187</v>
      </c>
      <c r="S148" s="62">
        <v>21918</v>
      </c>
      <c r="T148" s="62">
        <v>653</v>
      </c>
      <c r="U148" s="62">
        <f t="shared" si="2"/>
        <v>36426</v>
      </c>
      <c r="V148" s="62">
        <f t="shared" si="3"/>
        <v>79081.75</v>
      </c>
      <c r="W148" s="112"/>
      <c r="X148" s="112"/>
      <c r="Y148" s="112"/>
      <c r="Z148" s="112"/>
      <c r="AA148" s="112"/>
      <c r="AB148" s="112"/>
      <c r="AC148" s="112"/>
      <c r="AD148" s="112"/>
      <c r="AE148" s="112"/>
      <c r="AF148" s="112"/>
      <c r="AG148" s="112"/>
      <c r="AH148" s="112"/>
      <c r="AI148" s="112"/>
      <c r="AJ148" s="112"/>
      <c r="AK148" s="112"/>
      <c r="AL148" s="112"/>
      <c r="AM148" s="112"/>
      <c r="AN148" s="112"/>
      <c r="AO148" s="112"/>
      <c r="AP148" s="112"/>
      <c r="AQ148" s="112"/>
      <c r="AR148" s="112"/>
      <c r="AS148" s="112"/>
      <c r="AT148" s="112"/>
      <c r="AU148" s="112"/>
      <c r="AV148" s="112"/>
      <c r="AW148" s="112"/>
      <c r="AX148" s="112"/>
      <c r="AY148" s="112"/>
      <c r="AZ148" s="112"/>
      <c r="BA148" s="112"/>
      <c r="BB148" s="112"/>
      <c r="BC148" s="112"/>
      <c r="BD148" s="112"/>
      <c r="BE148" s="112"/>
      <c r="BF148" s="112"/>
    </row>
    <row r="149" spans="1:76">
      <c r="A149" s="110">
        <v>137</v>
      </c>
      <c r="B149" s="70" t="s">
        <v>227</v>
      </c>
      <c r="C149" s="63" t="s">
        <v>211</v>
      </c>
      <c r="D149" s="76" t="s">
        <v>228</v>
      </c>
      <c r="E149" s="81" t="s">
        <v>417</v>
      </c>
      <c r="F149" s="99">
        <v>44459</v>
      </c>
      <c r="G149" s="63" t="s">
        <v>472</v>
      </c>
      <c r="H149" s="64">
        <v>42940</v>
      </c>
      <c r="I149" s="68">
        <v>0</v>
      </c>
      <c r="J149" s="68">
        <v>0</v>
      </c>
      <c r="K149" s="141">
        <v>46040</v>
      </c>
      <c r="L149" s="142">
        <f>1220/4</f>
        <v>305</v>
      </c>
      <c r="M149" s="62">
        <f t="shared" si="0"/>
        <v>43245</v>
      </c>
      <c r="N149" s="62">
        <f t="shared" si="24"/>
        <v>12727</v>
      </c>
      <c r="O149" s="113">
        <f>495</f>
        <v>495</v>
      </c>
      <c r="P149" s="62">
        <v>0</v>
      </c>
      <c r="Q149" s="62">
        <f t="shared" si="1"/>
        <v>627</v>
      </c>
      <c r="R149" s="119">
        <f>187</f>
        <v>187</v>
      </c>
      <c r="S149" s="62">
        <v>0</v>
      </c>
      <c r="T149" s="62">
        <v>0</v>
      </c>
      <c r="U149" s="62">
        <f t="shared" si="2"/>
        <v>14036</v>
      </c>
      <c r="V149" s="62">
        <f t="shared" si="3"/>
        <v>57281</v>
      </c>
      <c r="W149" s="112"/>
      <c r="X149" s="112"/>
      <c r="Y149" s="112"/>
      <c r="Z149" s="112"/>
      <c r="AA149" s="112"/>
      <c r="AB149" s="112"/>
      <c r="AC149" s="112"/>
      <c r="AD149" s="112"/>
      <c r="AE149" s="112"/>
      <c r="AF149" s="112"/>
      <c r="AG149" s="112"/>
      <c r="AH149" s="112"/>
      <c r="AI149" s="112"/>
      <c r="AJ149" s="112"/>
      <c r="AK149" s="112"/>
      <c r="AL149" s="112"/>
      <c r="AM149" s="112"/>
      <c r="AN149" s="112"/>
      <c r="AO149" s="112"/>
      <c r="AP149" s="112"/>
      <c r="AQ149" s="112"/>
      <c r="AR149" s="112"/>
      <c r="AS149" s="112"/>
      <c r="AT149" s="112"/>
      <c r="AU149" s="112"/>
      <c r="AV149" s="112"/>
      <c r="AW149" s="112"/>
      <c r="AX149" s="112"/>
      <c r="AY149" s="112"/>
      <c r="AZ149" s="112"/>
      <c r="BA149" s="112"/>
      <c r="BB149" s="112"/>
      <c r="BC149" s="112"/>
      <c r="BD149" s="112"/>
      <c r="BE149" s="112"/>
      <c r="BF149" s="112"/>
    </row>
    <row r="150" spans="1:76">
      <c r="A150" s="110">
        <v>138</v>
      </c>
      <c r="B150" s="70" t="s">
        <v>229</v>
      </c>
      <c r="C150" s="63" t="s">
        <v>230</v>
      </c>
      <c r="D150" s="76" t="s">
        <v>471</v>
      </c>
      <c r="E150" s="81" t="s">
        <v>419</v>
      </c>
      <c r="F150" s="99">
        <v>42752</v>
      </c>
      <c r="G150" s="63" t="s">
        <v>143</v>
      </c>
      <c r="H150" s="64">
        <f>37913</f>
        <v>37913</v>
      </c>
      <c r="I150" s="68">
        <v>0</v>
      </c>
      <c r="J150" s="68">
        <v>0</v>
      </c>
      <c r="K150" s="141"/>
      <c r="L150" s="142">
        <v>0</v>
      </c>
      <c r="M150" s="62">
        <f t="shared" si="0"/>
        <v>37913</v>
      </c>
      <c r="N150" s="62">
        <f t="shared" si="24"/>
        <v>11158</v>
      </c>
      <c r="O150" s="62">
        <v>0</v>
      </c>
      <c r="P150" s="62">
        <v>0</v>
      </c>
      <c r="Q150" s="62">
        <f t="shared" si="1"/>
        <v>550</v>
      </c>
      <c r="R150" s="119">
        <f>187</f>
        <v>187</v>
      </c>
      <c r="S150" s="62">
        <v>0</v>
      </c>
      <c r="T150" s="62">
        <v>0</v>
      </c>
      <c r="U150" s="62">
        <f t="shared" si="2"/>
        <v>11895</v>
      </c>
      <c r="V150" s="62">
        <f t="shared" si="3"/>
        <v>49808</v>
      </c>
      <c r="W150" s="112"/>
      <c r="X150" s="112"/>
      <c r="Y150" s="112"/>
      <c r="Z150" s="112"/>
      <c r="AA150" s="112"/>
      <c r="AB150" s="112"/>
      <c r="AC150" s="112"/>
      <c r="AD150" s="112"/>
      <c r="AE150" s="112"/>
      <c r="AF150" s="112"/>
      <c r="AG150" s="112"/>
      <c r="AH150" s="112"/>
      <c r="AI150" s="112"/>
      <c r="AJ150" s="112"/>
      <c r="AK150" s="112"/>
      <c r="AL150" s="112"/>
      <c r="AM150" s="112"/>
      <c r="AN150" s="112"/>
      <c r="AO150" s="112"/>
      <c r="AP150" s="112"/>
      <c r="AQ150" s="112"/>
      <c r="AR150" s="112"/>
      <c r="AS150" s="112"/>
      <c r="AT150" s="112"/>
      <c r="AU150" s="112"/>
      <c r="AV150" s="112"/>
      <c r="AW150" s="112"/>
      <c r="AX150" s="112"/>
      <c r="AY150" s="112"/>
      <c r="AZ150" s="112"/>
      <c r="BA150" s="112"/>
      <c r="BB150" s="112"/>
      <c r="BC150" s="112"/>
      <c r="BD150" s="112"/>
      <c r="BE150" s="112"/>
      <c r="BF150" s="112"/>
    </row>
    <row r="151" spans="1:76">
      <c r="A151" s="38">
        <v>139</v>
      </c>
      <c r="B151" s="50" t="s">
        <v>231</v>
      </c>
      <c r="C151" s="45" t="s">
        <v>232</v>
      </c>
      <c r="D151" s="76" t="s">
        <v>92</v>
      </c>
      <c r="E151" s="81"/>
      <c r="F151" s="99"/>
      <c r="G151" s="45" t="s">
        <v>69</v>
      </c>
      <c r="H151" s="64">
        <v>0</v>
      </c>
      <c r="I151" s="68">
        <v>0</v>
      </c>
      <c r="J151" s="40">
        <v>0</v>
      </c>
      <c r="K151" s="164"/>
      <c r="L151" s="165">
        <v>0</v>
      </c>
      <c r="M151" s="44">
        <f t="shared" si="0"/>
        <v>0</v>
      </c>
      <c r="N151" s="44">
        <f t="shared" si="24"/>
        <v>0</v>
      </c>
      <c r="O151" s="44">
        <v>0</v>
      </c>
      <c r="P151" s="44">
        <v>0</v>
      </c>
      <c r="Q151" s="44">
        <f t="shared" si="1"/>
        <v>0</v>
      </c>
      <c r="R151" s="44">
        <v>0</v>
      </c>
      <c r="S151" s="44">
        <v>0</v>
      </c>
      <c r="T151" s="44">
        <v>0</v>
      </c>
      <c r="U151" s="44">
        <f t="shared" si="2"/>
        <v>0</v>
      </c>
      <c r="V151" s="44">
        <f t="shared" si="3"/>
        <v>0</v>
      </c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5"/>
      <c r="BH151" s="5"/>
      <c r="BI151" s="5"/>
      <c r="BJ151" s="5"/>
      <c r="BK151" s="5"/>
      <c r="BL151" s="5"/>
      <c r="BM151" s="5"/>
      <c r="BN151" s="5"/>
      <c r="BO151" s="5"/>
      <c r="BP151" s="5"/>
      <c r="BQ151" s="5"/>
      <c r="BR151" s="5"/>
      <c r="BS151" s="5"/>
      <c r="BT151" s="5"/>
      <c r="BU151" s="5"/>
      <c r="BV151" s="5"/>
      <c r="BW151" s="5"/>
      <c r="BX151" s="5"/>
    </row>
    <row r="152" spans="1:76">
      <c r="A152" s="38">
        <v>140</v>
      </c>
      <c r="B152" s="50" t="s">
        <v>233</v>
      </c>
      <c r="C152" s="45" t="s">
        <v>132</v>
      </c>
      <c r="D152" s="76" t="s">
        <v>92</v>
      </c>
      <c r="E152" s="81"/>
      <c r="F152" s="99"/>
      <c r="G152" s="45" t="s">
        <v>78</v>
      </c>
      <c r="H152" s="64">
        <v>0</v>
      </c>
      <c r="I152" s="68">
        <v>0</v>
      </c>
      <c r="J152" s="40">
        <v>0</v>
      </c>
      <c r="K152" s="164"/>
      <c r="L152" s="165">
        <v>0</v>
      </c>
      <c r="M152" s="44">
        <f t="shared" si="0"/>
        <v>0</v>
      </c>
      <c r="N152" s="44">
        <f t="shared" si="24"/>
        <v>0</v>
      </c>
      <c r="O152" s="44">
        <v>0</v>
      </c>
      <c r="P152" s="44">
        <v>0</v>
      </c>
      <c r="Q152" s="44">
        <f t="shared" si="1"/>
        <v>0</v>
      </c>
      <c r="R152" s="44">
        <v>0</v>
      </c>
      <c r="S152" s="44">
        <v>0</v>
      </c>
      <c r="T152" s="44">
        <v>0</v>
      </c>
      <c r="U152" s="44">
        <f t="shared" si="2"/>
        <v>0</v>
      </c>
      <c r="V152" s="44">
        <f t="shared" si="3"/>
        <v>0</v>
      </c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5"/>
      <c r="BH152" s="5"/>
      <c r="BI152" s="5"/>
      <c r="BJ152" s="5"/>
      <c r="BK152" s="5"/>
      <c r="BL152" s="5"/>
      <c r="BM152" s="5"/>
      <c r="BN152" s="5"/>
      <c r="BO152" s="5"/>
      <c r="BP152" s="5"/>
      <c r="BQ152" s="5"/>
      <c r="BR152" s="5"/>
      <c r="BS152" s="5"/>
      <c r="BT152" s="5"/>
      <c r="BU152" s="5"/>
      <c r="BV152" s="5"/>
      <c r="BW152" s="5"/>
      <c r="BX152" s="5"/>
    </row>
    <row r="153" spans="1:76">
      <c r="A153" s="38">
        <v>141</v>
      </c>
      <c r="B153" s="50" t="s">
        <v>234</v>
      </c>
      <c r="C153" s="45" t="s">
        <v>235</v>
      </c>
      <c r="D153" s="76" t="s">
        <v>92</v>
      </c>
      <c r="E153" s="81"/>
      <c r="F153" s="99"/>
      <c r="G153" s="45" t="s">
        <v>78</v>
      </c>
      <c r="H153" s="64">
        <v>0</v>
      </c>
      <c r="I153" s="68">
        <v>0</v>
      </c>
      <c r="J153" s="40">
        <v>0</v>
      </c>
      <c r="K153" s="164"/>
      <c r="L153" s="165">
        <v>0</v>
      </c>
      <c r="M153" s="44">
        <f t="shared" si="0"/>
        <v>0</v>
      </c>
      <c r="N153" s="44">
        <f t="shared" si="24"/>
        <v>0</v>
      </c>
      <c r="O153" s="44">
        <v>0</v>
      </c>
      <c r="P153" s="44">
        <v>0</v>
      </c>
      <c r="Q153" s="44">
        <f t="shared" si="1"/>
        <v>0</v>
      </c>
      <c r="R153" s="44">
        <v>0</v>
      </c>
      <c r="S153" s="44">
        <v>0</v>
      </c>
      <c r="T153" s="44">
        <v>0</v>
      </c>
      <c r="U153" s="44">
        <f t="shared" si="2"/>
        <v>0</v>
      </c>
      <c r="V153" s="44">
        <f t="shared" si="3"/>
        <v>0</v>
      </c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5"/>
      <c r="BH153" s="5"/>
      <c r="BI153" s="5"/>
      <c r="BJ153" s="5"/>
      <c r="BK153" s="5"/>
      <c r="BL153" s="5"/>
      <c r="BM153" s="5"/>
      <c r="BN153" s="5"/>
      <c r="BO153" s="5"/>
      <c r="BP153" s="5"/>
      <c r="BQ153" s="5"/>
      <c r="BR153" s="5"/>
      <c r="BS153" s="5"/>
      <c r="BT153" s="5"/>
      <c r="BU153" s="5"/>
      <c r="BV153" s="5"/>
      <c r="BW153" s="5"/>
      <c r="BX153" s="5"/>
    </row>
    <row r="154" spans="1:76">
      <c r="A154" s="38">
        <v>142</v>
      </c>
      <c r="B154" s="38" t="s">
        <v>236</v>
      </c>
      <c r="C154" s="51" t="s">
        <v>230</v>
      </c>
      <c r="D154" s="77" t="s">
        <v>92</v>
      </c>
      <c r="E154" s="81"/>
      <c r="F154" s="99"/>
      <c r="G154" s="51" t="s">
        <v>143</v>
      </c>
      <c r="H154" s="60">
        <v>0</v>
      </c>
      <c r="I154" s="68">
        <v>0</v>
      </c>
      <c r="J154" s="40">
        <v>0</v>
      </c>
      <c r="K154" s="164"/>
      <c r="L154" s="165">
        <v>0</v>
      </c>
      <c r="M154" s="44">
        <f t="shared" si="0"/>
        <v>0</v>
      </c>
      <c r="N154" s="44">
        <f t="shared" si="24"/>
        <v>0</v>
      </c>
      <c r="O154" s="44">
        <v>0</v>
      </c>
      <c r="P154" s="44">
        <v>0</v>
      </c>
      <c r="Q154" s="44">
        <f t="shared" si="1"/>
        <v>0</v>
      </c>
      <c r="R154" s="44">
        <v>0</v>
      </c>
      <c r="S154" s="44">
        <v>0</v>
      </c>
      <c r="T154" s="44">
        <v>0</v>
      </c>
      <c r="U154" s="44">
        <f t="shared" si="2"/>
        <v>0</v>
      </c>
      <c r="V154" s="44">
        <f t="shared" si="3"/>
        <v>0</v>
      </c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5"/>
      <c r="BH154" s="5"/>
      <c r="BI154" s="5"/>
      <c r="BJ154" s="5"/>
      <c r="BK154" s="5"/>
      <c r="BL154" s="5"/>
      <c r="BM154" s="5"/>
      <c r="BN154" s="5"/>
      <c r="BO154" s="5"/>
      <c r="BP154" s="5"/>
      <c r="BQ154" s="5"/>
      <c r="BR154" s="5"/>
      <c r="BS154" s="5"/>
      <c r="BT154" s="5"/>
      <c r="BU154" s="5"/>
      <c r="BV154" s="5"/>
      <c r="BW154" s="5"/>
      <c r="BX154" s="5"/>
    </row>
    <row r="155" spans="1:76">
      <c r="A155" s="110">
        <v>143</v>
      </c>
      <c r="B155" s="110" t="s">
        <v>237</v>
      </c>
      <c r="C155" s="75" t="s">
        <v>230</v>
      </c>
      <c r="D155" s="78" t="s">
        <v>253</v>
      </c>
      <c r="E155" s="81" t="s">
        <v>419</v>
      </c>
      <c r="F155" s="99">
        <v>44606</v>
      </c>
      <c r="G155" s="75" t="s">
        <v>143</v>
      </c>
      <c r="H155" s="60">
        <f>37913</f>
        <v>37913</v>
      </c>
      <c r="I155" s="68">
        <v>0</v>
      </c>
      <c r="J155" s="68">
        <v>0</v>
      </c>
      <c r="K155" s="141">
        <v>46133</v>
      </c>
      <c r="L155" s="142">
        <f>718/4</f>
        <v>179.5</v>
      </c>
      <c r="M155" s="62">
        <f t="shared" si="0"/>
        <v>38092.5</v>
      </c>
      <c r="N155" s="62">
        <f t="shared" si="24"/>
        <v>11211</v>
      </c>
      <c r="O155" s="62">
        <v>0</v>
      </c>
      <c r="P155" s="62">
        <v>0</v>
      </c>
      <c r="Q155" s="62">
        <f t="shared" si="1"/>
        <v>552</v>
      </c>
      <c r="R155" s="119">
        <f>187</f>
        <v>187</v>
      </c>
      <c r="S155" s="62">
        <v>8551</v>
      </c>
      <c r="T155" s="62">
        <v>342</v>
      </c>
      <c r="U155" s="62">
        <f t="shared" si="2"/>
        <v>20843</v>
      </c>
      <c r="V155" s="62">
        <f t="shared" si="3"/>
        <v>58935.5</v>
      </c>
      <c r="W155" s="112"/>
      <c r="X155" s="112"/>
      <c r="Y155" s="112"/>
      <c r="Z155" s="112"/>
      <c r="AA155" s="112"/>
      <c r="AB155" s="112"/>
      <c r="AC155" s="112"/>
      <c r="AD155" s="112"/>
      <c r="AE155" s="112"/>
      <c r="AF155" s="112"/>
      <c r="AG155" s="112"/>
      <c r="AH155" s="112"/>
      <c r="AI155" s="112"/>
      <c r="AJ155" s="112"/>
      <c r="AK155" s="112"/>
      <c r="AL155" s="112"/>
      <c r="AM155" s="112"/>
      <c r="AN155" s="112"/>
      <c r="AO155" s="112"/>
      <c r="AP155" s="112"/>
      <c r="AQ155" s="112"/>
      <c r="AR155" s="112"/>
      <c r="AS155" s="112"/>
      <c r="AT155" s="112"/>
      <c r="AU155" s="112"/>
      <c r="AV155" s="112"/>
      <c r="AW155" s="112"/>
      <c r="AX155" s="112"/>
      <c r="AY155" s="112"/>
      <c r="AZ155" s="112"/>
      <c r="BA155" s="112"/>
      <c r="BB155" s="112"/>
      <c r="BC155" s="112"/>
      <c r="BD155" s="112"/>
      <c r="BE155" s="112"/>
      <c r="BF155" s="112"/>
    </row>
    <row r="156" spans="1:76">
      <c r="A156" s="110">
        <v>144</v>
      </c>
      <c r="B156" s="110" t="s">
        <v>238</v>
      </c>
      <c r="C156" s="75" t="s">
        <v>132</v>
      </c>
      <c r="D156" s="78" t="s">
        <v>446</v>
      </c>
      <c r="E156" s="81" t="s">
        <v>419</v>
      </c>
      <c r="F156" s="99">
        <v>45159</v>
      </c>
      <c r="G156" s="75" t="s">
        <v>78</v>
      </c>
      <c r="H156" s="60">
        <v>32355</v>
      </c>
      <c r="I156" s="68">
        <v>0</v>
      </c>
      <c r="J156" s="68">
        <v>0</v>
      </c>
      <c r="K156" s="141"/>
      <c r="L156" s="142">
        <v>0</v>
      </c>
      <c r="M156" s="62">
        <f t="shared" si="0"/>
        <v>32355</v>
      </c>
      <c r="N156" s="62">
        <f t="shared" si="24"/>
        <v>9522</v>
      </c>
      <c r="O156" s="62">
        <v>495</v>
      </c>
      <c r="P156" s="62">
        <v>0</v>
      </c>
      <c r="Q156" s="62">
        <f t="shared" si="1"/>
        <v>469</v>
      </c>
      <c r="R156" s="62">
        <v>187</v>
      </c>
      <c r="S156" s="62">
        <v>0</v>
      </c>
      <c r="T156" s="62">
        <v>0</v>
      </c>
      <c r="U156" s="62">
        <f t="shared" si="2"/>
        <v>10673</v>
      </c>
      <c r="V156" s="62">
        <f t="shared" si="3"/>
        <v>43028</v>
      </c>
      <c r="W156" s="112"/>
      <c r="X156" s="112"/>
      <c r="Y156" s="112"/>
      <c r="Z156" s="112"/>
      <c r="AA156" s="112"/>
      <c r="AB156" s="112"/>
      <c r="AC156" s="112"/>
      <c r="AD156" s="112"/>
      <c r="AE156" s="112"/>
      <c r="AF156" s="112"/>
      <c r="AG156" s="112"/>
      <c r="AH156" s="112"/>
      <c r="AI156" s="112"/>
      <c r="AJ156" s="112"/>
      <c r="AK156" s="112"/>
      <c r="AL156" s="112"/>
      <c r="AM156" s="112"/>
      <c r="AN156" s="112"/>
      <c r="AO156" s="112"/>
      <c r="AP156" s="112"/>
      <c r="AQ156" s="112"/>
      <c r="AR156" s="112"/>
      <c r="AS156" s="112"/>
      <c r="AT156" s="112"/>
      <c r="AU156" s="112"/>
      <c r="AV156" s="112"/>
      <c r="AW156" s="112"/>
      <c r="AX156" s="112"/>
      <c r="AY156" s="112"/>
      <c r="AZ156" s="112"/>
      <c r="BA156" s="112"/>
      <c r="BB156" s="112"/>
      <c r="BC156" s="112"/>
      <c r="BD156" s="112"/>
      <c r="BE156" s="112"/>
      <c r="BF156" s="112"/>
    </row>
    <row r="157" spans="1:76">
      <c r="A157" s="38">
        <v>145</v>
      </c>
      <c r="B157" s="38" t="s">
        <v>239</v>
      </c>
      <c r="C157" s="51" t="s">
        <v>240</v>
      </c>
      <c r="D157" s="77" t="s">
        <v>255</v>
      </c>
      <c r="E157" s="81"/>
      <c r="F157" s="99"/>
      <c r="G157" s="51" t="s">
        <v>241</v>
      </c>
      <c r="H157" s="60">
        <v>0</v>
      </c>
      <c r="I157" s="68">
        <v>0</v>
      </c>
      <c r="J157" s="40">
        <v>0</v>
      </c>
      <c r="K157" s="164"/>
      <c r="L157" s="165">
        <v>0</v>
      </c>
      <c r="M157" s="44">
        <f t="shared" si="0"/>
        <v>0</v>
      </c>
      <c r="N157" s="44">
        <f t="shared" si="24"/>
        <v>0</v>
      </c>
      <c r="O157" s="44">
        <v>0</v>
      </c>
      <c r="P157" s="44">
        <v>0</v>
      </c>
      <c r="Q157" s="44">
        <f t="shared" si="1"/>
        <v>0</v>
      </c>
      <c r="R157" s="44">
        <v>0</v>
      </c>
      <c r="S157" s="44">
        <v>0</v>
      </c>
      <c r="T157" s="44">
        <v>0</v>
      </c>
      <c r="U157" s="44">
        <f t="shared" si="2"/>
        <v>0</v>
      </c>
      <c r="V157" s="44">
        <f t="shared" si="3"/>
        <v>0</v>
      </c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5"/>
      <c r="BH157" s="5"/>
      <c r="BI157" s="5"/>
      <c r="BJ157" s="5"/>
      <c r="BK157" s="5"/>
      <c r="BL157" s="5"/>
      <c r="BM157" s="5"/>
      <c r="BN157" s="5"/>
      <c r="BO157" s="5"/>
      <c r="BP157" s="5"/>
      <c r="BQ157" s="5"/>
      <c r="BR157" s="5"/>
      <c r="BS157" s="5"/>
      <c r="BT157" s="5"/>
      <c r="BU157" s="5"/>
      <c r="BV157" s="5"/>
      <c r="BW157" s="5"/>
      <c r="BX157" s="5"/>
    </row>
    <row r="158" spans="1:76">
      <c r="A158" s="38">
        <v>146</v>
      </c>
      <c r="B158" s="38" t="s">
        <v>242</v>
      </c>
      <c r="C158" s="51" t="s">
        <v>243</v>
      </c>
      <c r="D158" s="77" t="s">
        <v>255</v>
      </c>
      <c r="E158" s="81"/>
      <c r="F158" s="99"/>
      <c r="G158" s="51" t="s">
        <v>143</v>
      </c>
      <c r="H158" s="60">
        <v>0</v>
      </c>
      <c r="I158" s="68">
        <v>0</v>
      </c>
      <c r="J158" s="40">
        <v>0</v>
      </c>
      <c r="K158" s="164"/>
      <c r="L158" s="165">
        <v>0</v>
      </c>
      <c r="M158" s="44">
        <f t="shared" si="0"/>
        <v>0</v>
      </c>
      <c r="N158" s="44">
        <f t="shared" si="24"/>
        <v>0</v>
      </c>
      <c r="O158" s="44">
        <v>0</v>
      </c>
      <c r="P158" s="44">
        <v>0</v>
      </c>
      <c r="Q158" s="44">
        <f t="shared" si="1"/>
        <v>0</v>
      </c>
      <c r="R158" s="44">
        <v>0</v>
      </c>
      <c r="S158" s="44">
        <v>0</v>
      </c>
      <c r="T158" s="44">
        <v>0</v>
      </c>
      <c r="U158" s="44">
        <f t="shared" si="2"/>
        <v>0</v>
      </c>
      <c r="V158" s="44">
        <f t="shared" si="3"/>
        <v>0</v>
      </c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5"/>
      <c r="BH158" s="5"/>
      <c r="BI158" s="5"/>
      <c r="BJ158" s="5"/>
      <c r="BK158" s="5"/>
      <c r="BL158" s="5"/>
      <c r="BM158" s="5"/>
      <c r="BN158" s="5"/>
      <c r="BO158" s="5"/>
      <c r="BP158" s="5"/>
      <c r="BQ158" s="5"/>
      <c r="BR158" s="5"/>
      <c r="BS158" s="5"/>
      <c r="BT158" s="5"/>
      <c r="BU158" s="5"/>
      <c r="BV158" s="5"/>
      <c r="BW158" s="5"/>
      <c r="BX158" s="5"/>
    </row>
    <row r="159" spans="1:76">
      <c r="A159" s="38">
        <v>147</v>
      </c>
      <c r="B159" s="38" t="s">
        <v>244</v>
      </c>
      <c r="C159" s="51" t="s">
        <v>245</v>
      </c>
      <c r="D159" s="77" t="s">
        <v>92</v>
      </c>
      <c r="E159" s="81"/>
      <c r="F159" s="99"/>
      <c r="G159" s="51" t="s">
        <v>78</v>
      </c>
      <c r="H159" s="60">
        <v>0</v>
      </c>
      <c r="I159" s="68">
        <v>0</v>
      </c>
      <c r="J159" s="40">
        <v>0</v>
      </c>
      <c r="K159" s="164"/>
      <c r="L159" s="165">
        <v>0</v>
      </c>
      <c r="M159" s="44">
        <f t="shared" si="0"/>
        <v>0</v>
      </c>
      <c r="N159" s="44">
        <f t="shared" si="24"/>
        <v>0</v>
      </c>
      <c r="O159" s="44">
        <v>0</v>
      </c>
      <c r="P159" s="44">
        <v>0</v>
      </c>
      <c r="Q159" s="44">
        <f t="shared" si="1"/>
        <v>0</v>
      </c>
      <c r="R159" s="44">
        <v>0</v>
      </c>
      <c r="S159" s="44">
        <v>0</v>
      </c>
      <c r="T159" s="44">
        <v>0</v>
      </c>
      <c r="U159" s="44">
        <f t="shared" si="2"/>
        <v>0</v>
      </c>
      <c r="V159" s="44">
        <f t="shared" si="3"/>
        <v>0</v>
      </c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5"/>
      <c r="BH159" s="5"/>
      <c r="BI159" s="5"/>
      <c r="BJ159" s="5"/>
      <c r="BK159" s="5"/>
      <c r="BL159" s="5"/>
      <c r="BM159" s="5"/>
      <c r="BN159" s="5"/>
      <c r="BO159" s="5"/>
      <c r="BP159" s="5"/>
      <c r="BQ159" s="5"/>
      <c r="BR159" s="5"/>
      <c r="BS159" s="5"/>
      <c r="BT159" s="5"/>
      <c r="BU159" s="5"/>
      <c r="BV159" s="5"/>
      <c r="BW159" s="5"/>
      <c r="BX159" s="5"/>
    </row>
    <row r="160" spans="1:76">
      <c r="A160" s="110">
        <v>148</v>
      </c>
      <c r="B160" s="110" t="s">
        <v>246</v>
      </c>
      <c r="C160" s="75" t="s">
        <v>247</v>
      </c>
      <c r="D160" s="78" t="s">
        <v>248</v>
      </c>
      <c r="E160" s="74" t="s">
        <v>417</v>
      </c>
      <c r="F160" s="111">
        <v>42443</v>
      </c>
      <c r="G160" s="75" t="s">
        <v>468</v>
      </c>
      <c r="H160" s="60">
        <v>55601</v>
      </c>
      <c r="I160" s="68">
        <v>0</v>
      </c>
      <c r="J160" s="68">
        <v>0</v>
      </c>
      <c r="K160" s="141">
        <v>46050</v>
      </c>
      <c r="L160" s="142">
        <f>1580/4</f>
        <v>395</v>
      </c>
      <c r="M160" s="62">
        <f t="shared" si="0"/>
        <v>55996</v>
      </c>
      <c r="N160" s="62">
        <f t="shared" si="24"/>
        <v>16480</v>
      </c>
      <c r="O160" s="113">
        <f>495</f>
        <v>495</v>
      </c>
      <c r="P160" s="62">
        <v>0</v>
      </c>
      <c r="Q160" s="62">
        <f t="shared" si="1"/>
        <v>812</v>
      </c>
      <c r="R160" s="119">
        <f>187</f>
        <v>187</v>
      </c>
      <c r="S160" s="62">
        <v>13493</v>
      </c>
      <c r="T160" s="62">
        <v>404</v>
      </c>
      <c r="U160" s="62">
        <f t="shared" si="2"/>
        <v>31871</v>
      </c>
      <c r="V160" s="62">
        <f t="shared" si="3"/>
        <v>87867</v>
      </c>
      <c r="W160" s="112"/>
      <c r="X160" s="112"/>
      <c r="Y160" s="112"/>
      <c r="Z160" s="112"/>
      <c r="AA160" s="112"/>
      <c r="AB160" s="112"/>
      <c r="AC160" s="112"/>
      <c r="AD160" s="112"/>
      <c r="AE160" s="112"/>
      <c r="AF160" s="112"/>
      <c r="AG160" s="112"/>
      <c r="AH160" s="112"/>
      <c r="AI160" s="112"/>
      <c r="AJ160" s="112"/>
      <c r="AK160" s="112"/>
      <c r="AL160" s="112"/>
      <c r="AM160" s="112"/>
      <c r="AN160" s="112"/>
      <c r="AO160" s="112"/>
      <c r="AP160" s="112"/>
      <c r="AQ160" s="112"/>
      <c r="AR160" s="112"/>
      <c r="AS160" s="112"/>
      <c r="AT160" s="112"/>
      <c r="AU160" s="112"/>
      <c r="AV160" s="112"/>
      <c r="AW160" s="112"/>
      <c r="AX160" s="112"/>
      <c r="AY160" s="112"/>
      <c r="AZ160" s="112"/>
      <c r="BA160" s="112"/>
      <c r="BB160" s="112"/>
      <c r="BC160" s="112"/>
      <c r="BD160" s="112"/>
      <c r="BE160" s="112"/>
      <c r="BF160" s="112"/>
    </row>
    <row r="161" spans="1:76">
      <c r="A161" s="110">
        <v>149</v>
      </c>
      <c r="B161" s="110" t="s">
        <v>249</v>
      </c>
      <c r="C161" s="63" t="s">
        <v>211</v>
      </c>
      <c r="D161" s="78" t="s">
        <v>469</v>
      </c>
      <c r="E161" s="74" t="s">
        <v>417</v>
      </c>
      <c r="F161" s="111">
        <v>38261</v>
      </c>
      <c r="G161" s="75" t="s">
        <v>470</v>
      </c>
      <c r="H161" s="60">
        <v>56795</v>
      </c>
      <c r="I161" s="68">
        <v>0</v>
      </c>
      <c r="J161" s="68">
        <v>0</v>
      </c>
      <c r="K161" s="141">
        <v>46322</v>
      </c>
      <c r="L161" s="142">
        <f>1802/4</f>
        <v>450.5</v>
      </c>
      <c r="M161" s="62">
        <f t="shared" si="0"/>
        <v>57245.5</v>
      </c>
      <c r="N161" s="62">
        <f t="shared" si="24"/>
        <v>16847</v>
      </c>
      <c r="O161" s="113">
        <f>495</f>
        <v>495</v>
      </c>
      <c r="P161" s="62">
        <v>0</v>
      </c>
      <c r="Q161" s="62">
        <f t="shared" si="1"/>
        <v>830</v>
      </c>
      <c r="R161" s="119">
        <f>187</f>
        <v>187</v>
      </c>
      <c r="S161" s="62">
        <v>13493</v>
      </c>
      <c r="T161" s="62">
        <v>404</v>
      </c>
      <c r="U161" s="62">
        <f t="shared" si="2"/>
        <v>32256</v>
      </c>
      <c r="V161" s="62">
        <f t="shared" si="3"/>
        <v>89501.5</v>
      </c>
      <c r="W161" s="112"/>
      <c r="X161" s="112"/>
      <c r="Y161" s="112"/>
      <c r="Z161" s="112"/>
      <c r="AA161" s="112"/>
      <c r="AB161" s="112"/>
      <c r="AC161" s="112"/>
      <c r="AD161" s="112"/>
      <c r="AE161" s="112"/>
      <c r="AF161" s="112"/>
      <c r="AG161" s="112"/>
      <c r="AH161" s="112"/>
      <c r="AI161" s="112"/>
      <c r="AJ161" s="112"/>
      <c r="AK161" s="112"/>
      <c r="AL161" s="112"/>
      <c r="AM161" s="112"/>
      <c r="AN161" s="112"/>
      <c r="AO161" s="112"/>
      <c r="AP161" s="112"/>
      <c r="AQ161" s="112"/>
      <c r="AR161" s="112"/>
      <c r="AS161" s="112"/>
      <c r="AT161" s="112"/>
      <c r="AU161" s="112"/>
      <c r="AV161" s="112"/>
      <c r="AW161" s="112"/>
      <c r="AX161" s="112"/>
      <c r="AY161" s="112"/>
      <c r="AZ161" s="112"/>
      <c r="BA161" s="112"/>
      <c r="BB161" s="112"/>
      <c r="BC161" s="112"/>
      <c r="BD161" s="112"/>
      <c r="BE161" s="112"/>
      <c r="BF161" s="112"/>
    </row>
    <row r="162" spans="1:76">
      <c r="A162" s="110">
        <v>150</v>
      </c>
      <c r="B162" s="110" t="s">
        <v>285</v>
      </c>
      <c r="C162" s="75" t="s">
        <v>286</v>
      </c>
      <c r="D162" s="78" t="s">
        <v>127</v>
      </c>
      <c r="E162" s="81" t="s">
        <v>419</v>
      </c>
      <c r="F162" s="99"/>
      <c r="G162" s="75" t="s">
        <v>287</v>
      </c>
      <c r="H162" s="60">
        <f>90075</f>
        <v>90075</v>
      </c>
      <c r="I162" s="68">
        <v>0</v>
      </c>
      <c r="J162" s="68">
        <v>0</v>
      </c>
      <c r="K162" s="141"/>
      <c r="L162" s="142">
        <v>0</v>
      </c>
      <c r="M162" s="62">
        <f t="shared" si="0"/>
        <v>90075</v>
      </c>
      <c r="N162" s="62">
        <f t="shared" si="24"/>
        <v>26509</v>
      </c>
      <c r="O162" s="113">
        <f>495</f>
        <v>495</v>
      </c>
      <c r="P162" s="62">
        <v>0</v>
      </c>
      <c r="Q162" s="62">
        <f t="shared" si="1"/>
        <v>1306</v>
      </c>
      <c r="R162" s="119">
        <f>187</f>
        <v>187</v>
      </c>
      <c r="S162" s="62">
        <v>8310</v>
      </c>
      <c r="T162" s="62">
        <v>486</v>
      </c>
      <c r="U162" s="62">
        <f t="shared" si="2"/>
        <v>37293</v>
      </c>
      <c r="V162" s="62">
        <f t="shared" si="3"/>
        <v>127368</v>
      </c>
      <c r="W162" s="112"/>
      <c r="X162" s="112"/>
      <c r="Y162" s="112"/>
      <c r="Z162" s="112"/>
      <c r="AA162" s="112"/>
      <c r="AB162" s="112"/>
      <c r="AC162" s="112"/>
      <c r="AD162" s="112"/>
      <c r="AE162" s="112"/>
      <c r="AF162" s="112"/>
      <c r="AG162" s="112"/>
      <c r="AH162" s="112"/>
      <c r="AI162" s="112"/>
      <c r="AJ162" s="112"/>
      <c r="AK162" s="112"/>
      <c r="AL162" s="112"/>
      <c r="AM162" s="112"/>
      <c r="AN162" s="112"/>
      <c r="AO162" s="112"/>
      <c r="AP162" s="112"/>
      <c r="AQ162" s="112"/>
      <c r="AR162" s="112"/>
      <c r="AS162" s="112"/>
      <c r="AT162" s="112"/>
      <c r="AU162" s="112"/>
      <c r="AV162" s="112"/>
      <c r="AW162" s="112"/>
      <c r="AX162" s="112"/>
      <c r="AY162" s="112"/>
      <c r="AZ162" s="112"/>
      <c r="BA162" s="112"/>
      <c r="BB162" s="112"/>
      <c r="BC162" s="112"/>
      <c r="BD162" s="112"/>
      <c r="BE162" s="112"/>
      <c r="BF162" s="112"/>
    </row>
    <row r="163" spans="1:76">
      <c r="A163" s="110">
        <v>151</v>
      </c>
      <c r="B163" s="110" t="s">
        <v>288</v>
      </c>
      <c r="C163" s="75" t="s">
        <v>497</v>
      </c>
      <c r="D163" s="78" t="s">
        <v>436</v>
      </c>
      <c r="E163" s="81"/>
      <c r="F163" s="99">
        <v>45173</v>
      </c>
      <c r="G163" s="75" t="s">
        <v>124</v>
      </c>
      <c r="H163" s="60">
        <v>32355</v>
      </c>
      <c r="I163" s="68">
        <v>0</v>
      </c>
      <c r="J163" s="68">
        <v>0</v>
      </c>
      <c r="K163" s="141"/>
      <c r="L163" s="142">
        <v>0</v>
      </c>
      <c r="M163" s="62">
        <f t="shared" si="0"/>
        <v>32355</v>
      </c>
      <c r="N163" s="62">
        <f t="shared" si="24"/>
        <v>9522</v>
      </c>
      <c r="O163" s="113">
        <f>495</f>
        <v>495</v>
      </c>
      <c r="P163" s="62">
        <v>0</v>
      </c>
      <c r="Q163" s="62">
        <f t="shared" si="1"/>
        <v>469</v>
      </c>
      <c r="R163" s="119">
        <f>187</f>
        <v>187</v>
      </c>
      <c r="S163" s="62">
        <v>4801</v>
      </c>
      <c r="T163" s="62">
        <v>342</v>
      </c>
      <c r="U163" s="62">
        <f t="shared" si="2"/>
        <v>15816</v>
      </c>
      <c r="V163" s="62">
        <f t="shared" si="3"/>
        <v>48171</v>
      </c>
      <c r="W163" s="112"/>
      <c r="X163" s="112"/>
      <c r="Y163" s="112"/>
      <c r="Z163" s="112"/>
      <c r="AA163" s="112"/>
      <c r="AB163" s="112"/>
      <c r="AC163" s="112"/>
      <c r="AD163" s="112"/>
      <c r="AE163" s="112"/>
      <c r="AF163" s="112"/>
      <c r="AG163" s="112"/>
      <c r="AH163" s="112"/>
      <c r="AI163" s="112"/>
      <c r="AJ163" s="112"/>
      <c r="AK163" s="112"/>
      <c r="AL163" s="112"/>
      <c r="AM163" s="112"/>
      <c r="AN163" s="112"/>
      <c r="AO163" s="112"/>
      <c r="AP163" s="112"/>
      <c r="AQ163" s="112"/>
      <c r="AR163" s="112"/>
      <c r="AS163" s="112"/>
      <c r="AT163" s="112"/>
      <c r="AU163" s="112"/>
      <c r="AV163" s="112"/>
      <c r="AW163" s="112"/>
      <c r="AX163" s="112"/>
      <c r="AY163" s="112"/>
      <c r="AZ163" s="112"/>
      <c r="BA163" s="112"/>
      <c r="BB163" s="112"/>
      <c r="BC163" s="112"/>
      <c r="BD163" s="112"/>
      <c r="BE163" s="112"/>
      <c r="BF163" s="112"/>
    </row>
    <row r="164" spans="1:76">
      <c r="A164" s="38">
        <v>152</v>
      </c>
      <c r="B164" s="38" t="s">
        <v>289</v>
      </c>
      <c r="C164" s="51" t="s">
        <v>290</v>
      </c>
      <c r="D164" s="77" t="s">
        <v>92</v>
      </c>
      <c r="E164" s="81"/>
      <c r="F164" s="99"/>
      <c r="G164" s="51" t="s">
        <v>124</v>
      </c>
      <c r="H164" s="60">
        <v>0</v>
      </c>
      <c r="I164" s="68">
        <v>0</v>
      </c>
      <c r="J164" s="40">
        <v>0</v>
      </c>
      <c r="K164" s="164"/>
      <c r="L164" s="165">
        <v>0</v>
      </c>
      <c r="M164" s="44">
        <f t="shared" si="0"/>
        <v>0</v>
      </c>
      <c r="N164" s="44">
        <f t="shared" si="24"/>
        <v>0</v>
      </c>
      <c r="O164" s="44">
        <v>0</v>
      </c>
      <c r="P164" s="44">
        <v>0</v>
      </c>
      <c r="Q164" s="44">
        <f t="shared" si="1"/>
        <v>0</v>
      </c>
      <c r="R164" s="44">
        <v>0</v>
      </c>
      <c r="S164" s="44">
        <v>0</v>
      </c>
      <c r="T164" s="44">
        <v>0</v>
      </c>
      <c r="U164" s="44">
        <f t="shared" si="2"/>
        <v>0</v>
      </c>
      <c r="V164" s="44">
        <f t="shared" si="3"/>
        <v>0</v>
      </c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5"/>
      <c r="BH164" s="5"/>
      <c r="BI164" s="5"/>
      <c r="BJ164" s="5"/>
      <c r="BK164" s="5"/>
      <c r="BL164" s="5"/>
      <c r="BM164" s="5"/>
      <c r="BN164" s="5"/>
      <c r="BO164" s="5"/>
      <c r="BP164" s="5"/>
      <c r="BQ164" s="5"/>
      <c r="BR164" s="5"/>
      <c r="BS164" s="5"/>
      <c r="BT164" s="5"/>
      <c r="BU164" s="5"/>
      <c r="BV164" s="5"/>
      <c r="BW164" s="5"/>
      <c r="BX164" s="5"/>
    </row>
    <row r="165" spans="1:76">
      <c r="A165" s="110">
        <v>153</v>
      </c>
      <c r="B165" s="110" t="s">
        <v>291</v>
      </c>
      <c r="C165" s="75" t="s">
        <v>211</v>
      </c>
      <c r="D165" s="78" t="s">
        <v>292</v>
      </c>
      <c r="E165" s="81" t="s">
        <v>419</v>
      </c>
      <c r="F165" s="99">
        <v>42380</v>
      </c>
      <c r="G165" s="75" t="s">
        <v>467</v>
      </c>
      <c r="H165" s="60">
        <v>42940</v>
      </c>
      <c r="I165" s="68">
        <v>0</v>
      </c>
      <c r="J165" s="68">
        <v>0</v>
      </c>
      <c r="K165" s="141">
        <v>46009</v>
      </c>
      <c r="L165" s="142">
        <f>1356/4</f>
        <v>339</v>
      </c>
      <c r="M165" s="62">
        <f t="shared" si="0"/>
        <v>43279</v>
      </c>
      <c r="N165" s="62">
        <f t="shared" si="24"/>
        <v>12737</v>
      </c>
      <c r="O165" s="113">
        <f>495</f>
        <v>495</v>
      </c>
      <c r="P165" s="62">
        <v>0</v>
      </c>
      <c r="Q165" s="62">
        <f t="shared" si="1"/>
        <v>628</v>
      </c>
      <c r="R165" s="119">
        <f>187</f>
        <v>187</v>
      </c>
      <c r="S165" s="62">
        <v>8551</v>
      </c>
      <c r="T165" s="62">
        <v>342</v>
      </c>
      <c r="U165" s="62">
        <f t="shared" si="2"/>
        <v>22940</v>
      </c>
      <c r="V165" s="62">
        <f t="shared" si="3"/>
        <v>66219</v>
      </c>
      <c r="W165" s="112"/>
      <c r="X165" s="112"/>
      <c r="Y165" s="112"/>
      <c r="Z165" s="112"/>
      <c r="AA165" s="112"/>
      <c r="AB165" s="112"/>
      <c r="AC165" s="112"/>
      <c r="AD165" s="112"/>
      <c r="AE165" s="112"/>
      <c r="AF165" s="112"/>
      <c r="AG165" s="112"/>
      <c r="AH165" s="112"/>
      <c r="AI165" s="112"/>
      <c r="AJ165" s="112"/>
      <c r="AK165" s="112"/>
      <c r="AL165" s="112"/>
      <c r="AM165" s="112"/>
      <c r="AN165" s="112"/>
      <c r="AO165" s="112"/>
      <c r="AP165" s="112"/>
      <c r="AQ165" s="112"/>
      <c r="AR165" s="112"/>
      <c r="AS165" s="112"/>
      <c r="AT165" s="112"/>
      <c r="AU165" s="112"/>
      <c r="AV165" s="112"/>
      <c r="AW165" s="112"/>
      <c r="AX165" s="112"/>
      <c r="AY165" s="112"/>
      <c r="AZ165" s="112"/>
      <c r="BA165" s="112"/>
      <c r="BB165" s="112"/>
      <c r="BC165" s="112"/>
      <c r="BD165" s="112"/>
      <c r="BE165" s="112"/>
      <c r="BF165" s="112"/>
    </row>
    <row r="166" spans="1:76">
      <c r="A166" s="110">
        <v>154</v>
      </c>
      <c r="B166" s="110" t="s">
        <v>293</v>
      </c>
      <c r="C166" s="75" t="s">
        <v>290</v>
      </c>
      <c r="D166" s="78" t="s">
        <v>414</v>
      </c>
      <c r="E166" s="81"/>
      <c r="F166" s="99">
        <v>44732</v>
      </c>
      <c r="G166" s="75" t="s">
        <v>124</v>
      </c>
      <c r="H166" s="60">
        <f>32355</f>
        <v>32355</v>
      </c>
      <c r="I166" s="68">
        <v>0</v>
      </c>
      <c r="J166" s="68">
        <v>0</v>
      </c>
      <c r="K166" s="141"/>
      <c r="L166" s="142">
        <v>0</v>
      </c>
      <c r="M166" s="62">
        <f t="shared" si="0"/>
        <v>32355</v>
      </c>
      <c r="N166" s="62">
        <f t="shared" si="24"/>
        <v>9522</v>
      </c>
      <c r="O166" s="113">
        <f>495</f>
        <v>495</v>
      </c>
      <c r="P166" s="62">
        <v>0</v>
      </c>
      <c r="Q166" s="62">
        <f t="shared" si="1"/>
        <v>469</v>
      </c>
      <c r="R166" s="119">
        <f>187</f>
        <v>187</v>
      </c>
      <c r="S166" s="62">
        <v>0</v>
      </c>
      <c r="T166" s="62">
        <v>0</v>
      </c>
      <c r="U166" s="62">
        <f t="shared" si="2"/>
        <v>10673</v>
      </c>
      <c r="V166" s="62">
        <f t="shared" si="3"/>
        <v>43028</v>
      </c>
      <c r="W166" s="112"/>
      <c r="X166" s="112"/>
      <c r="Y166" s="112"/>
      <c r="Z166" s="112"/>
      <c r="AA166" s="112"/>
      <c r="AB166" s="112"/>
      <c r="AC166" s="112"/>
      <c r="AD166" s="112"/>
      <c r="AE166" s="112"/>
      <c r="AF166" s="112"/>
      <c r="AG166" s="112"/>
      <c r="AH166" s="112"/>
      <c r="AI166" s="112"/>
      <c r="AJ166" s="112"/>
      <c r="AK166" s="112"/>
      <c r="AL166" s="112"/>
      <c r="AM166" s="112"/>
      <c r="AN166" s="112"/>
      <c r="AO166" s="112"/>
      <c r="AP166" s="112"/>
      <c r="AQ166" s="112"/>
      <c r="AR166" s="112"/>
      <c r="AS166" s="112"/>
      <c r="AT166" s="112"/>
      <c r="AU166" s="112"/>
      <c r="AV166" s="112"/>
      <c r="AW166" s="112"/>
      <c r="AX166" s="112"/>
      <c r="AY166" s="112"/>
      <c r="AZ166" s="112"/>
      <c r="BA166" s="112"/>
      <c r="BB166" s="112"/>
      <c r="BC166" s="112"/>
      <c r="BD166" s="112"/>
      <c r="BE166" s="112"/>
      <c r="BF166" s="112"/>
    </row>
    <row r="167" spans="1:76">
      <c r="A167" s="38">
        <v>155</v>
      </c>
      <c r="B167" s="38" t="s">
        <v>294</v>
      </c>
      <c r="C167" s="51" t="s">
        <v>211</v>
      </c>
      <c r="D167" s="77" t="s">
        <v>92</v>
      </c>
      <c r="E167" s="81"/>
      <c r="F167" s="99"/>
      <c r="G167" s="51" t="s">
        <v>147</v>
      </c>
      <c r="H167" s="60">
        <v>0</v>
      </c>
      <c r="I167" s="68">
        <v>0</v>
      </c>
      <c r="J167" s="40">
        <v>0</v>
      </c>
      <c r="K167" s="164"/>
      <c r="L167" s="165">
        <v>0</v>
      </c>
      <c r="M167" s="44">
        <f t="shared" si="0"/>
        <v>0</v>
      </c>
      <c r="N167" s="44">
        <f t="shared" si="24"/>
        <v>0</v>
      </c>
      <c r="O167" s="44">
        <v>0</v>
      </c>
      <c r="P167" s="44">
        <v>0</v>
      </c>
      <c r="Q167" s="44">
        <f t="shared" si="1"/>
        <v>0</v>
      </c>
      <c r="R167" s="44">
        <v>0</v>
      </c>
      <c r="S167" s="44">
        <v>0</v>
      </c>
      <c r="T167" s="44">
        <v>0</v>
      </c>
      <c r="U167" s="44">
        <f t="shared" si="2"/>
        <v>0</v>
      </c>
      <c r="V167" s="44">
        <f t="shared" si="3"/>
        <v>0</v>
      </c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5"/>
      <c r="BH167" s="5"/>
      <c r="BI167" s="5"/>
      <c r="BJ167" s="5"/>
      <c r="BK167" s="5"/>
      <c r="BL167" s="5"/>
      <c r="BM167" s="5"/>
      <c r="BN167" s="5"/>
      <c r="BO167" s="5"/>
      <c r="BP167" s="5"/>
      <c r="BQ167" s="5"/>
      <c r="BR167" s="5"/>
      <c r="BS167" s="5"/>
      <c r="BT167" s="5"/>
      <c r="BU167" s="5"/>
      <c r="BV167" s="5"/>
      <c r="BW167" s="5"/>
      <c r="BX167" s="5"/>
    </row>
    <row r="168" spans="1:76">
      <c r="A168" s="110">
        <v>156</v>
      </c>
      <c r="B168" s="110" t="s">
        <v>295</v>
      </c>
      <c r="C168" s="75" t="s">
        <v>450</v>
      </c>
      <c r="D168" s="78" t="s">
        <v>358</v>
      </c>
      <c r="E168" s="81" t="s">
        <v>419</v>
      </c>
      <c r="F168" s="99">
        <v>44970</v>
      </c>
      <c r="G168" s="75" t="s">
        <v>147</v>
      </c>
      <c r="H168" s="60">
        <v>41372</v>
      </c>
      <c r="I168" s="68">
        <v>0</v>
      </c>
      <c r="J168" s="68">
        <v>0</v>
      </c>
      <c r="K168" s="141"/>
      <c r="L168" s="142">
        <v>0</v>
      </c>
      <c r="M168" s="62">
        <f t="shared" si="0"/>
        <v>41372</v>
      </c>
      <c r="N168" s="62">
        <f t="shared" si="24"/>
        <v>12176</v>
      </c>
      <c r="O168" s="113">
        <f>495</f>
        <v>495</v>
      </c>
      <c r="P168" s="62">
        <v>0</v>
      </c>
      <c r="Q168" s="62">
        <f t="shared" si="1"/>
        <v>600</v>
      </c>
      <c r="R168" s="119">
        <f>187</f>
        <v>187</v>
      </c>
      <c r="S168" s="62">
        <v>8551</v>
      </c>
      <c r="T168" s="62">
        <v>342</v>
      </c>
      <c r="U168" s="62">
        <f t="shared" si="2"/>
        <v>22351</v>
      </c>
      <c r="V168" s="62">
        <f t="shared" si="3"/>
        <v>63723</v>
      </c>
      <c r="W168" s="112"/>
      <c r="X168" s="112"/>
      <c r="Y168" s="112"/>
      <c r="Z168" s="112"/>
      <c r="AA168" s="112"/>
      <c r="AB168" s="112"/>
      <c r="AC168" s="112"/>
      <c r="AD168" s="112"/>
      <c r="AE168" s="112"/>
      <c r="AF168" s="112"/>
      <c r="AG168" s="112"/>
      <c r="AH168" s="112"/>
      <c r="AI168" s="112"/>
      <c r="AJ168" s="112"/>
      <c r="AK168" s="112"/>
      <c r="AL168" s="112"/>
      <c r="AM168" s="112"/>
      <c r="AN168" s="112"/>
      <c r="AO168" s="112"/>
      <c r="AP168" s="112"/>
      <c r="AQ168" s="112"/>
      <c r="AR168" s="112"/>
      <c r="AS168" s="112"/>
      <c r="AT168" s="112"/>
      <c r="AU168" s="112"/>
      <c r="AV168" s="112"/>
      <c r="AW168" s="112"/>
      <c r="AX168" s="112"/>
      <c r="AY168" s="112"/>
      <c r="AZ168" s="112"/>
      <c r="BA168" s="112"/>
      <c r="BB168" s="112"/>
      <c r="BC168" s="112"/>
      <c r="BD168" s="112"/>
      <c r="BE168" s="112"/>
      <c r="BF168" s="112"/>
    </row>
    <row r="169" spans="1:76">
      <c r="A169" s="38">
        <v>157</v>
      </c>
      <c r="B169" s="38" t="s">
        <v>324</v>
      </c>
      <c r="C169" s="51" t="s">
        <v>65</v>
      </c>
      <c r="D169" s="77" t="s">
        <v>333</v>
      </c>
      <c r="E169" s="81"/>
      <c r="F169" s="99"/>
      <c r="G169" s="51" t="s">
        <v>67</v>
      </c>
      <c r="H169" s="60">
        <v>0</v>
      </c>
      <c r="I169" s="68">
        <v>0</v>
      </c>
      <c r="J169" s="40">
        <v>0</v>
      </c>
      <c r="K169" s="164"/>
      <c r="L169" s="165">
        <v>0</v>
      </c>
      <c r="M169" s="44">
        <f t="shared" si="0"/>
        <v>0</v>
      </c>
      <c r="N169" s="44">
        <f>ROUND((M169*0.2943),0)</f>
        <v>0</v>
      </c>
      <c r="O169" s="44">
        <v>0</v>
      </c>
      <c r="P169" s="44">
        <v>0</v>
      </c>
      <c r="Q169" s="44">
        <f t="shared" si="1"/>
        <v>0</v>
      </c>
      <c r="R169" s="44">
        <v>0</v>
      </c>
      <c r="S169" s="44">
        <v>0</v>
      </c>
      <c r="T169" s="44">
        <v>0</v>
      </c>
      <c r="U169" s="44">
        <f t="shared" si="2"/>
        <v>0</v>
      </c>
      <c r="V169" s="44">
        <f t="shared" si="3"/>
        <v>0</v>
      </c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5"/>
      <c r="BH169" s="5"/>
      <c r="BI169" s="5"/>
      <c r="BJ169" s="5"/>
      <c r="BK169" s="5"/>
      <c r="BL169" s="5"/>
      <c r="BM169" s="5"/>
      <c r="BN169" s="5"/>
      <c r="BO169" s="5"/>
      <c r="BP169" s="5"/>
      <c r="BQ169" s="5"/>
      <c r="BR169" s="5"/>
      <c r="BS169" s="5"/>
      <c r="BT169" s="5"/>
      <c r="BU169" s="5"/>
      <c r="BV169" s="5"/>
      <c r="BW169" s="5"/>
      <c r="BX169" s="5"/>
    </row>
    <row r="170" spans="1:76">
      <c r="A170" s="38">
        <v>158</v>
      </c>
      <c r="B170" s="38" t="s">
        <v>325</v>
      </c>
      <c r="C170" s="51" t="s">
        <v>326</v>
      </c>
      <c r="D170" s="77" t="s">
        <v>92</v>
      </c>
      <c r="E170" s="81"/>
      <c r="F170" s="99"/>
      <c r="G170" s="51" t="s">
        <v>147</v>
      </c>
      <c r="H170" s="60">
        <v>0</v>
      </c>
      <c r="I170" s="68">
        <v>0</v>
      </c>
      <c r="J170" s="40">
        <v>0</v>
      </c>
      <c r="K170" s="164"/>
      <c r="L170" s="165">
        <v>0</v>
      </c>
      <c r="M170" s="44">
        <f t="shared" si="0"/>
        <v>0</v>
      </c>
      <c r="N170" s="44">
        <f t="shared" ref="N170:N172" si="25">ROUND((M170*0.2943),0)</f>
        <v>0</v>
      </c>
      <c r="O170" s="44">
        <v>0</v>
      </c>
      <c r="P170" s="44">
        <v>0</v>
      </c>
      <c r="Q170" s="44">
        <f t="shared" si="1"/>
        <v>0</v>
      </c>
      <c r="R170" s="44">
        <v>0</v>
      </c>
      <c r="S170" s="44">
        <v>0</v>
      </c>
      <c r="T170" s="44">
        <v>0</v>
      </c>
      <c r="U170" s="44">
        <f t="shared" si="2"/>
        <v>0</v>
      </c>
      <c r="V170" s="44">
        <f t="shared" si="3"/>
        <v>0</v>
      </c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5"/>
      <c r="BH170" s="5"/>
      <c r="BI170" s="5"/>
      <c r="BJ170" s="5"/>
      <c r="BK170" s="5"/>
      <c r="BL170" s="5"/>
      <c r="BM170" s="5"/>
      <c r="BN170" s="5"/>
      <c r="BO170" s="5"/>
      <c r="BP170" s="5"/>
      <c r="BQ170" s="5"/>
      <c r="BR170" s="5"/>
      <c r="BS170" s="5"/>
      <c r="BT170" s="5"/>
      <c r="BU170" s="5"/>
      <c r="BV170" s="5"/>
      <c r="BW170" s="5"/>
      <c r="BX170" s="5"/>
    </row>
    <row r="171" spans="1:76">
      <c r="A171" s="38">
        <v>159</v>
      </c>
      <c r="B171" s="38" t="s">
        <v>327</v>
      </c>
      <c r="C171" s="51" t="s">
        <v>328</v>
      </c>
      <c r="D171" s="77" t="s">
        <v>92</v>
      </c>
      <c r="E171" s="81"/>
      <c r="F171" s="99"/>
      <c r="G171" s="51" t="s">
        <v>147</v>
      </c>
      <c r="H171" s="60">
        <v>0</v>
      </c>
      <c r="I171" s="68">
        <v>0</v>
      </c>
      <c r="J171" s="40">
        <v>0</v>
      </c>
      <c r="K171" s="164"/>
      <c r="L171" s="165">
        <v>0</v>
      </c>
      <c r="M171" s="44">
        <f t="shared" si="0"/>
        <v>0</v>
      </c>
      <c r="N171" s="44">
        <f t="shared" si="25"/>
        <v>0</v>
      </c>
      <c r="O171" s="44">
        <v>0</v>
      </c>
      <c r="P171" s="44">
        <v>0</v>
      </c>
      <c r="Q171" s="44">
        <f t="shared" si="1"/>
        <v>0</v>
      </c>
      <c r="R171" s="44">
        <v>0</v>
      </c>
      <c r="S171" s="44">
        <v>0</v>
      </c>
      <c r="T171" s="44">
        <v>0</v>
      </c>
      <c r="U171" s="44">
        <f t="shared" si="2"/>
        <v>0</v>
      </c>
      <c r="V171" s="44">
        <f t="shared" si="3"/>
        <v>0</v>
      </c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5"/>
      <c r="BH171" s="5"/>
      <c r="BI171" s="5"/>
      <c r="BJ171" s="5"/>
      <c r="BK171" s="5"/>
      <c r="BL171" s="5"/>
      <c r="BM171" s="5"/>
      <c r="BN171" s="5"/>
      <c r="BO171" s="5"/>
      <c r="BP171" s="5"/>
      <c r="BQ171" s="5"/>
      <c r="BR171" s="5"/>
      <c r="BS171" s="5"/>
      <c r="BT171" s="5"/>
      <c r="BU171" s="5"/>
      <c r="BV171" s="5"/>
      <c r="BW171" s="5"/>
      <c r="BX171" s="5"/>
    </row>
    <row r="172" spans="1:76">
      <c r="A172" s="38">
        <v>160</v>
      </c>
      <c r="B172" s="38" t="s">
        <v>329</v>
      </c>
      <c r="C172" s="51" t="s">
        <v>330</v>
      </c>
      <c r="D172" s="77" t="s">
        <v>92</v>
      </c>
      <c r="E172" s="81"/>
      <c r="F172" s="99"/>
      <c r="G172" s="51" t="s">
        <v>331</v>
      </c>
      <c r="H172" s="60">
        <v>0</v>
      </c>
      <c r="I172" s="68">
        <v>0</v>
      </c>
      <c r="J172" s="40">
        <v>0</v>
      </c>
      <c r="K172" s="164"/>
      <c r="L172" s="165">
        <v>0</v>
      </c>
      <c r="M172" s="44">
        <f t="shared" si="0"/>
        <v>0</v>
      </c>
      <c r="N172" s="44">
        <f t="shared" si="25"/>
        <v>0</v>
      </c>
      <c r="O172" s="44">
        <v>0</v>
      </c>
      <c r="P172" s="44">
        <v>0</v>
      </c>
      <c r="Q172" s="44">
        <f t="shared" si="1"/>
        <v>0</v>
      </c>
      <c r="R172" s="44">
        <v>0</v>
      </c>
      <c r="S172" s="44">
        <v>0</v>
      </c>
      <c r="T172" s="44">
        <v>0</v>
      </c>
      <c r="U172" s="44">
        <f t="shared" si="2"/>
        <v>0</v>
      </c>
      <c r="V172" s="44">
        <f t="shared" si="3"/>
        <v>0</v>
      </c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5"/>
      <c r="BH172" s="5"/>
      <c r="BI172" s="5"/>
      <c r="BJ172" s="5"/>
      <c r="BK172" s="5"/>
      <c r="BL172" s="5"/>
      <c r="BM172" s="5"/>
      <c r="BN172" s="5"/>
      <c r="BO172" s="5"/>
      <c r="BP172" s="5"/>
      <c r="BQ172" s="5"/>
      <c r="BR172" s="5"/>
      <c r="BS172" s="5"/>
      <c r="BT172" s="5"/>
      <c r="BU172" s="5"/>
      <c r="BV172" s="5"/>
      <c r="BW172" s="5"/>
      <c r="BX172" s="5"/>
    </row>
    <row r="173" spans="1:76">
      <c r="A173" s="110">
        <v>161</v>
      </c>
      <c r="B173" s="110" t="s">
        <v>359</v>
      </c>
      <c r="C173" s="75" t="s">
        <v>301</v>
      </c>
      <c r="D173" s="78" t="s">
        <v>460</v>
      </c>
      <c r="E173" s="81" t="s">
        <v>443</v>
      </c>
      <c r="F173" s="99">
        <v>44144</v>
      </c>
      <c r="G173" s="75" t="s">
        <v>498</v>
      </c>
      <c r="H173" s="60">
        <v>39349</v>
      </c>
      <c r="I173" s="68">
        <v>0</v>
      </c>
      <c r="J173" s="68">
        <v>0</v>
      </c>
      <c r="K173" s="141">
        <v>45827</v>
      </c>
      <c r="L173" s="142">
        <f>497/4</f>
        <v>124.25</v>
      </c>
      <c r="M173" s="62">
        <f t="shared" si="0"/>
        <v>39473.25</v>
      </c>
      <c r="N173" s="62">
        <f>ROUND((M173*0.2943),0)</f>
        <v>11617</v>
      </c>
      <c r="O173" s="113">
        <f>495</f>
        <v>495</v>
      </c>
      <c r="P173" s="62">
        <v>0</v>
      </c>
      <c r="Q173" s="62">
        <f t="shared" si="1"/>
        <v>572</v>
      </c>
      <c r="R173" s="119">
        <f>187</f>
        <v>187</v>
      </c>
      <c r="S173" s="62">
        <v>0</v>
      </c>
      <c r="T173" s="62">
        <v>0</v>
      </c>
      <c r="U173" s="62">
        <f t="shared" si="2"/>
        <v>12871</v>
      </c>
      <c r="V173" s="62">
        <f t="shared" si="3"/>
        <v>52344.25</v>
      </c>
      <c r="W173" s="112"/>
      <c r="X173" s="112"/>
      <c r="Y173" s="112"/>
      <c r="Z173" s="112"/>
      <c r="AA173" s="112"/>
      <c r="AB173" s="112"/>
      <c r="AC173" s="112"/>
      <c r="AD173" s="112"/>
      <c r="AE173" s="112"/>
      <c r="AF173" s="112"/>
      <c r="AG173" s="112"/>
      <c r="AH173" s="112"/>
      <c r="AI173" s="112"/>
      <c r="AJ173" s="112"/>
      <c r="AK173" s="112"/>
      <c r="AL173" s="112"/>
      <c r="AM173" s="112"/>
      <c r="AN173" s="112"/>
      <c r="AO173" s="112"/>
      <c r="AP173" s="112"/>
      <c r="AQ173" s="112"/>
      <c r="AR173" s="112"/>
      <c r="AS173" s="112"/>
      <c r="AT173" s="112"/>
      <c r="AU173" s="112"/>
      <c r="AV173" s="112"/>
      <c r="AW173" s="112"/>
      <c r="AX173" s="112"/>
      <c r="AY173" s="112"/>
      <c r="AZ173" s="112"/>
      <c r="BA173" s="112"/>
      <c r="BB173" s="112"/>
      <c r="BC173" s="112"/>
      <c r="BD173" s="112"/>
      <c r="BE173" s="112"/>
      <c r="BF173" s="112"/>
    </row>
    <row r="174" spans="1:76">
      <c r="A174" s="110">
        <v>162</v>
      </c>
      <c r="B174" s="110" t="s">
        <v>360</v>
      </c>
      <c r="C174" s="75" t="s">
        <v>301</v>
      </c>
      <c r="D174" s="78" t="s">
        <v>361</v>
      </c>
      <c r="E174" s="81" t="s">
        <v>443</v>
      </c>
      <c r="F174" s="99">
        <v>44354</v>
      </c>
      <c r="G174" s="75" t="s">
        <v>498</v>
      </c>
      <c r="H174" s="60">
        <v>39349</v>
      </c>
      <c r="I174" s="68">
        <v>0</v>
      </c>
      <c r="J174" s="68">
        <v>0</v>
      </c>
      <c r="K174" s="141">
        <v>45827</v>
      </c>
      <c r="L174" s="142">
        <f>497/4</f>
        <v>124.25</v>
      </c>
      <c r="M174" s="62">
        <f t="shared" si="0"/>
        <v>39473.25</v>
      </c>
      <c r="N174" s="62">
        <f t="shared" ref="N174:N176" si="26">ROUND((M174*0.2943),0)</f>
        <v>11617</v>
      </c>
      <c r="O174" s="113">
        <f>495</f>
        <v>495</v>
      </c>
      <c r="P174" s="62">
        <v>0</v>
      </c>
      <c r="Q174" s="62">
        <f t="shared" si="1"/>
        <v>572</v>
      </c>
      <c r="R174" s="119">
        <f>187</f>
        <v>187</v>
      </c>
      <c r="S174" s="62">
        <v>6921</v>
      </c>
      <c r="T174" s="62">
        <v>404</v>
      </c>
      <c r="U174" s="62">
        <f t="shared" si="2"/>
        <v>20196</v>
      </c>
      <c r="V174" s="62">
        <f t="shared" si="3"/>
        <v>59669.25</v>
      </c>
      <c r="W174" s="112"/>
      <c r="X174" s="112"/>
      <c r="Y174" s="112"/>
      <c r="Z174" s="112"/>
      <c r="AA174" s="112"/>
      <c r="AB174" s="112"/>
      <c r="AC174" s="112"/>
      <c r="AD174" s="112"/>
      <c r="AE174" s="112"/>
      <c r="AF174" s="112"/>
      <c r="AG174" s="112"/>
      <c r="AH174" s="112"/>
      <c r="AI174" s="112"/>
      <c r="AJ174" s="112"/>
      <c r="AK174" s="112"/>
      <c r="AL174" s="112"/>
      <c r="AM174" s="112"/>
      <c r="AN174" s="112"/>
      <c r="AO174" s="112"/>
      <c r="AP174" s="112"/>
      <c r="AQ174" s="112"/>
      <c r="AR174" s="112"/>
      <c r="AS174" s="112"/>
      <c r="AT174" s="112"/>
      <c r="AU174" s="112"/>
      <c r="AV174" s="112"/>
      <c r="AW174" s="112"/>
      <c r="AX174" s="112"/>
      <c r="AY174" s="112"/>
      <c r="AZ174" s="112"/>
      <c r="BA174" s="112"/>
      <c r="BB174" s="112"/>
      <c r="BC174" s="112"/>
      <c r="BD174" s="112"/>
      <c r="BE174" s="112"/>
      <c r="BF174" s="112"/>
    </row>
    <row r="175" spans="1:76">
      <c r="A175" s="38">
        <v>163</v>
      </c>
      <c r="B175" s="38" t="s">
        <v>362</v>
      </c>
      <c r="C175" s="51" t="s">
        <v>301</v>
      </c>
      <c r="D175" s="77" t="s">
        <v>92</v>
      </c>
      <c r="E175" s="81"/>
      <c r="F175" s="99"/>
      <c r="G175" s="51" t="s">
        <v>302</v>
      </c>
      <c r="H175" s="60">
        <v>0</v>
      </c>
      <c r="I175" s="68">
        <v>0</v>
      </c>
      <c r="J175" s="40">
        <v>0</v>
      </c>
      <c r="K175" s="164"/>
      <c r="L175" s="165">
        <v>0</v>
      </c>
      <c r="M175" s="44">
        <f t="shared" si="0"/>
        <v>0</v>
      </c>
      <c r="N175" s="44">
        <f t="shared" si="26"/>
        <v>0</v>
      </c>
      <c r="O175" s="44">
        <v>0</v>
      </c>
      <c r="P175" s="44">
        <v>0</v>
      </c>
      <c r="Q175" s="44">
        <f t="shared" si="1"/>
        <v>0</v>
      </c>
      <c r="R175" s="44">
        <v>0</v>
      </c>
      <c r="S175" s="44">
        <v>0</v>
      </c>
      <c r="T175" s="44">
        <v>0</v>
      </c>
      <c r="U175" s="44">
        <f t="shared" si="2"/>
        <v>0</v>
      </c>
      <c r="V175" s="44">
        <f t="shared" si="3"/>
        <v>0</v>
      </c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5"/>
      <c r="BH175" s="5"/>
      <c r="BI175" s="5"/>
      <c r="BJ175" s="5"/>
      <c r="BK175" s="5"/>
      <c r="BL175" s="5"/>
      <c r="BM175" s="5"/>
      <c r="BN175" s="5"/>
      <c r="BO175" s="5"/>
      <c r="BP175" s="5"/>
      <c r="BQ175" s="5"/>
      <c r="BR175" s="5"/>
      <c r="BS175" s="5"/>
      <c r="BT175" s="5"/>
      <c r="BU175" s="5"/>
      <c r="BV175" s="5"/>
      <c r="BW175" s="5"/>
      <c r="BX175" s="5"/>
    </row>
    <row r="176" spans="1:76">
      <c r="A176" s="38">
        <v>164</v>
      </c>
      <c r="B176" s="38" t="s">
        <v>363</v>
      </c>
      <c r="C176" s="51" t="s">
        <v>364</v>
      </c>
      <c r="D176" s="77" t="s">
        <v>92</v>
      </c>
      <c r="E176" s="81"/>
      <c r="F176" s="99"/>
      <c r="G176" s="51" t="s">
        <v>331</v>
      </c>
      <c r="H176" s="60">
        <v>0</v>
      </c>
      <c r="I176" s="68">
        <v>0</v>
      </c>
      <c r="J176" s="40">
        <v>0</v>
      </c>
      <c r="K176" s="164"/>
      <c r="L176" s="165">
        <v>0</v>
      </c>
      <c r="M176" s="44">
        <f t="shared" si="0"/>
        <v>0</v>
      </c>
      <c r="N176" s="44">
        <f t="shared" si="26"/>
        <v>0</v>
      </c>
      <c r="O176" s="44">
        <v>0</v>
      </c>
      <c r="P176" s="44">
        <v>0</v>
      </c>
      <c r="Q176" s="44">
        <f t="shared" si="1"/>
        <v>0</v>
      </c>
      <c r="R176" s="44">
        <v>0</v>
      </c>
      <c r="S176" s="44">
        <v>0</v>
      </c>
      <c r="T176" s="44">
        <v>0</v>
      </c>
      <c r="U176" s="44">
        <f t="shared" si="2"/>
        <v>0</v>
      </c>
      <c r="V176" s="44">
        <f t="shared" si="3"/>
        <v>0</v>
      </c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5"/>
      <c r="BH176" s="5"/>
      <c r="BI176" s="5"/>
      <c r="BJ176" s="5"/>
      <c r="BK176" s="5"/>
      <c r="BL176" s="5"/>
      <c r="BM176" s="5"/>
      <c r="BN176" s="5"/>
      <c r="BO176" s="5"/>
      <c r="BP176" s="5"/>
      <c r="BQ176" s="5"/>
      <c r="BR176" s="5"/>
      <c r="BS176" s="5"/>
      <c r="BT176" s="5"/>
      <c r="BU176" s="5"/>
      <c r="BV176" s="5"/>
      <c r="BW176" s="5"/>
      <c r="BX176" s="5"/>
    </row>
    <row r="177" spans="1:76" ht="21.75">
      <c r="A177" s="110">
        <v>174</v>
      </c>
      <c r="B177" s="110" t="s">
        <v>376</v>
      </c>
      <c r="C177" s="74" t="s">
        <v>499</v>
      </c>
      <c r="D177" s="78" t="s">
        <v>377</v>
      </c>
      <c r="E177" s="74" t="s">
        <v>441</v>
      </c>
      <c r="F177" s="111">
        <v>44704</v>
      </c>
      <c r="G177" s="75" t="s">
        <v>143</v>
      </c>
      <c r="H177" s="60">
        <v>37913</v>
      </c>
      <c r="I177" s="68">
        <v>0</v>
      </c>
      <c r="J177" s="68">
        <v>0</v>
      </c>
      <c r="K177" s="141"/>
      <c r="L177" s="142">
        <v>0</v>
      </c>
      <c r="M177" s="62">
        <f t="shared" si="0"/>
        <v>37913</v>
      </c>
      <c r="N177" s="62">
        <v>9522</v>
      </c>
      <c r="O177" s="113">
        <f>495</f>
        <v>495</v>
      </c>
      <c r="P177" s="62">
        <v>0</v>
      </c>
      <c r="Q177" s="62">
        <f t="shared" si="1"/>
        <v>550</v>
      </c>
      <c r="R177" s="119">
        <f>187</f>
        <v>187</v>
      </c>
      <c r="S177" s="62">
        <v>6921</v>
      </c>
      <c r="T177" s="62">
        <v>0</v>
      </c>
      <c r="U177" s="62">
        <f t="shared" si="2"/>
        <v>17675</v>
      </c>
      <c r="V177" s="62">
        <f t="shared" si="3"/>
        <v>55588</v>
      </c>
      <c r="W177" s="112"/>
      <c r="X177" s="112"/>
      <c r="Y177" s="112"/>
      <c r="Z177" s="112"/>
      <c r="AA177" s="112"/>
      <c r="AB177" s="112"/>
      <c r="AC177" s="112"/>
      <c r="AD177" s="112"/>
      <c r="AE177" s="112"/>
      <c r="AF177" s="112"/>
      <c r="AG177" s="112"/>
      <c r="AH177" s="112"/>
      <c r="AI177" s="112"/>
      <c r="AJ177" s="112"/>
      <c r="AK177" s="112"/>
      <c r="AL177" s="112"/>
      <c r="AM177" s="112"/>
      <c r="AN177" s="112"/>
      <c r="AO177" s="112"/>
      <c r="AP177" s="112"/>
      <c r="AQ177" s="112"/>
      <c r="AR177" s="112"/>
      <c r="AS177" s="112"/>
      <c r="AT177" s="112"/>
      <c r="AU177" s="112"/>
      <c r="AV177" s="112"/>
      <c r="AW177" s="112"/>
      <c r="AX177" s="112"/>
      <c r="AY177" s="112"/>
      <c r="AZ177" s="112"/>
      <c r="BA177" s="112"/>
      <c r="BB177" s="112"/>
      <c r="BC177" s="112"/>
      <c r="BD177" s="112"/>
      <c r="BE177" s="112"/>
      <c r="BF177" s="112"/>
    </row>
    <row r="178" spans="1:76">
      <c r="A178" s="110">
        <v>175</v>
      </c>
      <c r="B178" s="110" t="s">
        <v>372</v>
      </c>
      <c r="C178" s="75" t="s">
        <v>101</v>
      </c>
      <c r="D178" s="78" t="s">
        <v>120</v>
      </c>
      <c r="E178" s="74" t="s">
        <v>441</v>
      </c>
      <c r="F178" s="111">
        <v>44704</v>
      </c>
      <c r="G178" s="75" t="s">
        <v>78</v>
      </c>
      <c r="H178" s="60">
        <f>32355</f>
        <v>32355</v>
      </c>
      <c r="I178" s="68">
        <v>0</v>
      </c>
      <c r="J178" s="68">
        <v>0</v>
      </c>
      <c r="K178" s="141"/>
      <c r="L178" s="142">
        <v>0</v>
      </c>
      <c r="M178" s="62">
        <f t="shared" ref="M178" si="27">(+H178+I178+J178+L178)</f>
        <v>32355</v>
      </c>
      <c r="N178" s="62">
        <v>9522</v>
      </c>
      <c r="O178" s="113">
        <f>495</f>
        <v>495</v>
      </c>
      <c r="P178" s="62">
        <v>0</v>
      </c>
      <c r="Q178" s="62">
        <f t="shared" ref="Q178" si="28">ROUND((M178*0.0145),0)</f>
        <v>469</v>
      </c>
      <c r="R178" s="119">
        <f>187</f>
        <v>187</v>
      </c>
      <c r="S178" s="62">
        <v>4801</v>
      </c>
      <c r="T178" s="62">
        <v>342</v>
      </c>
      <c r="U178" s="62">
        <f t="shared" ref="U178" si="29">+N178+O178+P178+Q178+R178+S178+T178</f>
        <v>15816</v>
      </c>
      <c r="V178" s="62">
        <f t="shared" ref="V178" si="30">+M178+U178</f>
        <v>48171</v>
      </c>
      <c r="W178" s="112"/>
      <c r="X178" s="112"/>
      <c r="Y178" s="112"/>
      <c r="Z178" s="112"/>
      <c r="AA178" s="112"/>
      <c r="AB178" s="112"/>
      <c r="AC178" s="112"/>
      <c r="AD178" s="112"/>
      <c r="AE178" s="112"/>
      <c r="AF178" s="112"/>
      <c r="AG178" s="112"/>
      <c r="AH178" s="112"/>
      <c r="AI178" s="112"/>
      <c r="AJ178" s="112"/>
      <c r="AK178" s="112"/>
      <c r="AL178" s="112"/>
      <c r="AM178" s="112"/>
      <c r="AN178" s="112"/>
      <c r="AO178" s="112"/>
      <c r="AP178" s="112"/>
      <c r="AQ178" s="112"/>
      <c r="AR178" s="112"/>
      <c r="AS178" s="112"/>
      <c r="AT178" s="112"/>
      <c r="AU178" s="112"/>
      <c r="AV178" s="112"/>
      <c r="AW178" s="112"/>
      <c r="AX178" s="112"/>
      <c r="AY178" s="112"/>
      <c r="AZ178" s="112"/>
      <c r="BA178" s="112"/>
      <c r="BB178" s="112"/>
      <c r="BC178" s="112"/>
      <c r="BD178" s="112"/>
      <c r="BE178" s="112"/>
      <c r="BF178" s="112"/>
    </row>
    <row r="179" spans="1:76">
      <c r="A179" s="110">
        <v>177</v>
      </c>
      <c r="B179" s="110" t="s">
        <v>373</v>
      </c>
      <c r="C179" s="75" t="s">
        <v>101</v>
      </c>
      <c r="D179" s="78" t="s">
        <v>407</v>
      </c>
      <c r="E179" s="74" t="s">
        <v>441</v>
      </c>
      <c r="F179" s="111">
        <v>45159</v>
      </c>
      <c r="G179" s="75" t="s">
        <v>78</v>
      </c>
      <c r="H179" s="60">
        <v>32355</v>
      </c>
      <c r="I179" s="68">
        <v>0</v>
      </c>
      <c r="J179" s="68">
        <v>0</v>
      </c>
      <c r="K179" s="141"/>
      <c r="L179" s="142">
        <v>0</v>
      </c>
      <c r="M179" s="62">
        <f t="shared" si="0"/>
        <v>32355</v>
      </c>
      <c r="N179" s="62">
        <v>9522</v>
      </c>
      <c r="O179" s="113">
        <f>495</f>
        <v>495</v>
      </c>
      <c r="P179" s="62">
        <v>0</v>
      </c>
      <c r="Q179" s="62">
        <f t="shared" si="1"/>
        <v>469</v>
      </c>
      <c r="R179" s="119">
        <f>187</f>
        <v>187</v>
      </c>
      <c r="S179" s="62">
        <v>8551</v>
      </c>
      <c r="T179" s="62">
        <v>342</v>
      </c>
      <c r="U179" s="62">
        <f t="shared" si="2"/>
        <v>19566</v>
      </c>
      <c r="V179" s="62">
        <f t="shared" si="3"/>
        <v>51921</v>
      </c>
      <c r="W179" s="112"/>
      <c r="X179" s="112"/>
      <c r="Y179" s="112"/>
      <c r="Z179" s="112"/>
      <c r="AA179" s="112"/>
      <c r="AB179" s="112"/>
      <c r="AC179" s="112"/>
      <c r="AD179" s="112"/>
      <c r="AE179" s="112"/>
      <c r="AF179" s="112"/>
      <c r="AG179" s="112"/>
      <c r="AH179" s="112"/>
      <c r="AI179" s="112"/>
      <c r="AJ179" s="112"/>
      <c r="AK179" s="112"/>
      <c r="AL179" s="112"/>
      <c r="AM179" s="112"/>
      <c r="AN179" s="112"/>
      <c r="AO179" s="112"/>
      <c r="AP179" s="112"/>
      <c r="AQ179" s="112"/>
      <c r="AR179" s="112"/>
      <c r="AS179" s="112"/>
      <c r="AT179" s="112"/>
      <c r="AU179" s="112"/>
      <c r="AV179" s="112"/>
      <c r="AW179" s="112"/>
      <c r="AX179" s="112"/>
      <c r="AY179" s="112"/>
      <c r="AZ179" s="112"/>
      <c r="BA179" s="112"/>
      <c r="BB179" s="112"/>
      <c r="BC179" s="112"/>
      <c r="BD179" s="112"/>
      <c r="BE179" s="112"/>
      <c r="BF179" s="112"/>
    </row>
    <row r="180" spans="1:76">
      <c r="A180" s="38">
        <v>178</v>
      </c>
      <c r="B180" s="38" t="s">
        <v>374</v>
      </c>
      <c r="C180" s="51" t="s">
        <v>101</v>
      </c>
      <c r="D180" s="77" t="s">
        <v>375</v>
      </c>
      <c r="E180" s="72" t="s">
        <v>441</v>
      </c>
      <c r="F180" s="102">
        <v>44739</v>
      </c>
      <c r="G180" s="51" t="s">
        <v>78</v>
      </c>
      <c r="H180" s="60">
        <f>32355</f>
        <v>32355</v>
      </c>
      <c r="I180" s="68">
        <v>0</v>
      </c>
      <c r="J180" s="40">
        <v>0</v>
      </c>
      <c r="K180" s="164"/>
      <c r="L180" s="165">
        <v>0</v>
      </c>
      <c r="M180" s="44">
        <f t="shared" si="0"/>
        <v>32355</v>
      </c>
      <c r="N180" s="44">
        <v>9522</v>
      </c>
      <c r="O180" s="42">
        <f>495</f>
        <v>495</v>
      </c>
      <c r="P180" s="44">
        <v>0</v>
      </c>
      <c r="Q180" s="44">
        <f t="shared" si="1"/>
        <v>469</v>
      </c>
      <c r="R180" s="107">
        <f>187</f>
        <v>187</v>
      </c>
      <c r="S180" s="44">
        <v>11192</v>
      </c>
      <c r="T180" s="44">
        <v>653</v>
      </c>
      <c r="U180" s="44">
        <f t="shared" si="2"/>
        <v>22518</v>
      </c>
      <c r="V180" s="44">
        <f t="shared" si="3"/>
        <v>54873</v>
      </c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5"/>
      <c r="BH180" s="5"/>
      <c r="BI180" s="5"/>
      <c r="BJ180" s="5"/>
      <c r="BK180" s="5"/>
      <c r="BL180" s="5"/>
      <c r="BM180" s="5"/>
      <c r="BN180" s="5"/>
      <c r="BO180" s="5"/>
      <c r="BP180" s="5"/>
      <c r="BQ180" s="5"/>
      <c r="BR180" s="5"/>
      <c r="BS180" s="5"/>
      <c r="BT180" s="5"/>
      <c r="BU180" s="5"/>
      <c r="BV180" s="5"/>
      <c r="BW180" s="5"/>
      <c r="BX180" s="5"/>
    </row>
    <row r="181" spans="1:76">
      <c r="A181" s="110">
        <v>184</v>
      </c>
      <c r="B181" s="110" t="s">
        <v>379</v>
      </c>
      <c r="C181" s="75" t="s">
        <v>378</v>
      </c>
      <c r="D181" s="78" t="s">
        <v>127</v>
      </c>
      <c r="E181" s="74" t="s">
        <v>441</v>
      </c>
      <c r="F181" s="111"/>
      <c r="G181" s="75" t="s">
        <v>143</v>
      </c>
      <c r="H181" s="60">
        <f>37913</f>
        <v>37913</v>
      </c>
      <c r="I181" s="68">
        <v>0</v>
      </c>
      <c r="J181" s="68">
        <v>0</v>
      </c>
      <c r="K181" s="141"/>
      <c r="L181" s="142">
        <v>0</v>
      </c>
      <c r="M181" s="62">
        <f t="shared" si="0"/>
        <v>37913</v>
      </c>
      <c r="N181" s="62">
        <v>11158</v>
      </c>
      <c r="O181" s="113">
        <f>495</f>
        <v>495</v>
      </c>
      <c r="P181" s="62">
        <v>0</v>
      </c>
      <c r="Q181" s="62">
        <f t="shared" si="1"/>
        <v>550</v>
      </c>
      <c r="R181" s="119">
        <f>187</f>
        <v>187</v>
      </c>
      <c r="S181" s="62">
        <v>8310</v>
      </c>
      <c r="T181" s="62">
        <v>486</v>
      </c>
      <c r="U181" s="62">
        <f t="shared" si="2"/>
        <v>21186</v>
      </c>
      <c r="V181" s="62">
        <f t="shared" si="3"/>
        <v>59099</v>
      </c>
      <c r="W181" s="112"/>
      <c r="X181" s="112"/>
      <c r="Y181" s="112"/>
      <c r="Z181" s="112"/>
      <c r="AA181" s="112"/>
      <c r="AB181" s="112"/>
      <c r="AC181" s="112"/>
      <c r="AD181" s="112"/>
      <c r="AE181" s="112"/>
      <c r="AF181" s="112"/>
      <c r="AG181" s="112"/>
      <c r="AH181" s="112"/>
      <c r="AI181" s="112"/>
      <c r="AJ181" s="112"/>
      <c r="AK181" s="112"/>
      <c r="AL181" s="112"/>
      <c r="AM181" s="112"/>
      <c r="AN181" s="112"/>
      <c r="AO181" s="112"/>
      <c r="AP181" s="112"/>
      <c r="AQ181" s="112"/>
      <c r="AR181" s="112"/>
      <c r="AS181" s="112"/>
      <c r="AT181" s="112"/>
      <c r="AU181" s="112"/>
      <c r="AV181" s="112"/>
      <c r="AW181" s="112"/>
      <c r="AX181" s="112"/>
      <c r="AY181" s="112"/>
      <c r="AZ181" s="112"/>
      <c r="BA181" s="112"/>
      <c r="BB181" s="112"/>
      <c r="BC181" s="112"/>
      <c r="BD181" s="112"/>
      <c r="BE181" s="112"/>
      <c r="BF181" s="112"/>
    </row>
    <row r="182" spans="1:76">
      <c r="A182" s="110">
        <v>186</v>
      </c>
      <c r="B182" s="110" t="s">
        <v>381</v>
      </c>
      <c r="C182" s="75" t="s">
        <v>371</v>
      </c>
      <c r="D182" s="78" t="s">
        <v>449</v>
      </c>
      <c r="E182" s="74" t="s">
        <v>441</v>
      </c>
      <c r="F182" s="111">
        <v>45271</v>
      </c>
      <c r="G182" s="75" t="s">
        <v>282</v>
      </c>
      <c r="H182" s="60">
        <v>21678</v>
      </c>
      <c r="I182" s="68">
        <v>0</v>
      </c>
      <c r="J182" s="68">
        <v>0</v>
      </c>
      <c r="K182" s="141"/>
      <c r="L182" s="142">
        <v>0</v>
      </c>
      <c r="M182" s="62">
        <f t="shared" si="0"/>
        <v>21678</v>
      </c>
      <c r="N182" s="62">
        <v>9522</v>
      </c>
      <c r="O182" s="113">
        <f>495</f>
        <v>495</v>
      </c>
      <c r="P182" s="62">
        <v>0</v>
      </c>
      <c r="Q182" s="62">
        <f t="shared" si="1"/>
        <v>314</v>
      </c>
      <c r="R182" s="119">
        <f>187</f>
        <v>187</v>
      </c>
      <c r="S182" s="62">
        <v>0</v>
      </c>
      <c r="T182" s="62">
        <v>0</v>
      </c>
      <c r="U182" s="62">
        <f t="shared" si="2"/>
        <v>10518</v>
      </c>
      <c r="V182" s="62">
        <f t="shared" si="3"/>
        <v>32196</v>
      </c>
      <c r="W182" s="112"/>
      <c r="X182" s="112"/>
      <c r="Y182" s="112"/>
      <c r="Z182" s="112"/>
      <c r="AA182" s="112"/>
      <c r="AB182" s="112"/>
      <c r="AC182" s="112"/>
      <c r="AD182" s="112"/>
      <c r="AE182" s="112"/>
      <c r="AF182" s="112"/>
      <c r="AG182" s="112"/>
      <c r="AH182" s="112"/>
      <c r="AI182" s="112"/>
      <c r="AJ182" s="112"/>
      <c r="AK182" s="112"/>
      <c r="AL182" s="112"/>
      <c r="AM182" s="112"/>
      <c r="AN182" s="112"/>
      <c r="AO182" s="112"/>
      <c r="AP182" s="112"/>
      <c r="AQ182" s="112"/>
      <c r="AR182" s="112"/>
      <c r="AS182" s="112"/>
      <c r="AT182" s="112"/>
      <c r="AU182" s="112"/>
      <c r="AV182" s="112"/>
      <c r="AW182" s="112"/>
      <c r="AX182" s="112"/>
      <c r="AY182" s="112"/>
      <c r="AZ182" s="112"/>
      <c r="BA182" s="112"/>
      <c r="BB182" s="112"/>
      <c r="BC182" s="112"/>
      <c r="BD182" s="112"/>
      <c r="BE182" s="112"/>
      <c r="BF182" s="112"/>
    </row>
    <row r="183" spans="1:76">
      <c r="A183" s="38">
        <v>187</v>
      </c>
      <c r="B183" s="38" t="s">
        <v>382</v>
      </c>
      <c r="C183" s="51" t="s">
        <v>101</v>
      </c>
      <c r="D183" s="77" t="s">
        <v>268</v>
      </c>
      <c r="E183" s="72" t="s">
        <v>441</v>
      </c>
      <c r="F183" s="101">
        <v>44355</v>
      </c>
      <c r="G183" s="51" t="s">
        <v>78</v>
      </c>
      <c r="H183" s="60">
        <f>32355</f>
        <v>32355</v>
      </c>
      <c r="I183" s="68">
        <v>0</v>
      </c>
      <c r="J183" s="40">
        <v>0</v>
      </c>
      <c r="K183" s="164"/>
      <c r="L183" s="165">
        <v>0</v>
      </c>
      <c r="M183" s="44">
        <f t="shared" si="0"/>
        <v>32355</v>
      </c>
      <c r="N183" s="44">
        <v>9522</v>
      </c>
      <c r="O183" s="42">
        <f>495</f>
        <v>495</v>
      </c>
      <c r="P183" s="44">
        <v>0</v>
      </c>
      <c r="Q183" s="44">
        <f t="shared" si="1"/>
        <v>469</v>
      </c>
      <c r="R183" s="107">
        <f>187</f>
        <v>187</v>
      </c>
      <c r="S183" s="44">
        <v>0</v>
      </c>
      <c r="T183" s="44">
        <v>0</v>
      </c>
      <c r="U183" s="44">
        <f t="shared" si="2"/>
        <v>10673</v>
      </c>
      <c r="V183" s="44">
        <f t="shared" si="3"/>
        <v>43028</v>
      </c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5"/>
      <c r="BH183" s="5"/>
      <c r="BI183" s="5"/>
      <c r="BJ183" s="5"/>
      <c r="BK183" s="5"/>
      <c r="BL183" s="5"/>
      <c r="BM183" s="5"/>
      <c r="BN183" s="5"/>
      <c r="BO183" s="5"/>
      <c r="BP183" s="5"/>
      <c r="BQ183" s="5"/>
      <c r="BR183" s="5"/>
      <c r="BS183" s="5"/>
      <c r="BT183" s="5"/>
      <c r="BU183" s="5"/>
      <c r="BV183" s="5"/>
      <c r="BW183" s="5"/>
      <c r="BX183" s="5"/>
    </row>
    <row r="184" spans="1:76">
      <c r="A184" s="38">
        <v>189</v>
      </c>
      <c r="B184" s="38" t="s">
        <v>383</v>
      </c>
      <c r="C184" s="51" t="s">
        <v>380</v>
      </c>
      <c r="D184" s="77" t="s">
        <v>127</v>
      </c>
      <c r="E184" s="72" t="s">
        <v>441</v>
      </c>
      <c r="F184" s="102"/>
      <c r="G184" s="51" t="s">
        <v>78</v>
      </c>
      <c r="H184" s="60">
        <f>32355</f>
        <v>32355</v>
      </c>
      <c r="I184" s="68">
        <v>0</v>
      </c>
      <c r="J184" s="40">
        <v>0</v>
      </c>
      <c r="K184" s="164"/>
      <c r="L184" s="165">
        <v>0</v>
      </c>
      <c r="M184" s="44">
        <f t="shared" si="0"/>
        <v>32355</v>
      </c>
      <c r="N184" s="44">
        <v>9522</v>
      </c>
      <c r="O184" s="42">
        <f>495</f>
        <v>495</v>
      </c>
      <c r="P184" s="44">
        <v>0</v>
      </c>
      <c r="Q184" s="44">
        <f t="shared" si="1"/>
        <v>469</v>
      </c>
      <c r="R184" s="107">
        <f>187</f>
        <v>187</v>
      </c>
      <c r="S184" s="44">
        <v>8310</v>
      </c>
      <c r="T184" s="44">
        <v>486</v>
      </c>
      <c r="U184" s="44">
        <f t="shared" si="2"/>
        <v>19469</v>
      </c>
      <c r="V184" s="44">
        <f t="shared" si="3"/>
        <v>51824</v>
      </c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5"/>
      <c r="BH184" s="5"/>
      <c r="BI184" s="5"/>
      <c r="BJ184" s="5"/>
      <c r="BK184" s="5"/>
      <c r="BL184" s="5"/>
      <c r="BM184" s="5"/>
      <c r="BN184" s="5"/>
      <c r="BO184" s="5"/>
      <c r="BP184" s="5"/>
      <c r="BQ184" s="5"/>
      <c r="BR184" s="5"/>
      <c r="BS184" s="5"/>
      <c r="BT184" s="5"/>
      <c r="BU184" s="5"/>
      <c r="BV184" s="5"/>
      <c r="BW184" s="5"/>
      <c r="BX184" s="5"/>
    </row>
    <row r="185" spans="1:76">
      <c r="A185" s="38">
        <v>192</v>
      </c>
      <c r="B185" s="38" t="s">
        <v>384</v>
      </c>
      <c r="C185" s="51" t="s">
        <v>385</v>
      </c>
      <c r="D185" s="77" t="s">
        <v>127</v>
      </c>
      <c r="E185" s="72" t="s">
        <v>441</v>
      </c>
      <c r="F185" s="102"/>
      <c r="G185" s="51" t="s">
        <v>93</v>
      </c>
      <c r="H185" s="60">
        <f>41372</f>
        <v>41372</v>
      </c>
      <c r="I185" s="68">
        <v>0</v>
      </c>
      <c r="J185" s="40">
        <v>0</v>
      </c>
      <c r="K185" s="164"/>
      <c r="L185" s="165">
        <v>0</v>
      </c>
      <c r="M185" s="44">
        <f t="shared" si="0"/>
        <v>41372</v>
      </c>
      <c r="N185" s="44">
        <v>12176</v>
      </c>
      <c r="O185" s="42">
        <f>495</f>
        <v>495</v>
      </c>
      <c r="P185" s="44">
        <v>0</v>
      </c>
      <c r="Q185" s="44">
        <f t="shared" si="1"/>
        <v>600</v>
      </c>
      <c r="R185" s="107">
        <f>187</f>
        <v>187</v>
      </c>
      <c r="S185" s="44">
        <v>8310</v>
      </c>
      <c r="T185" s="44">
        <v>486</v>
      </c>
      <c r="U185" s="44">
        <f t="shared" si="2"/>
        <v>22254</v>
      </c>
      <c r="V185" s="44">
        <f t="shared" si="3"/>
        <v>63626</v>
      </c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5"/>
      <c r="BH185" s="5"/>
      <c r="BI185" s="5"/>
      <c r="BJ185" s="5"/>
      <c r="BK185" s="5"/>
      <c r="BL185" s="5"/>
      <c r="BM185" s="5"/>
      <c r="BN185" s="5"/>
      <c r="BO185" s="5"/>
      <c r="BP185" s="5"/>
      <c r="BQ185" s="5"/>
      <c r="BR185" s="5"/>
      <c r="BS185" s="5"/>
      <c r="BT185" s="5"/>
      <c r="BU185" s="5"/>
      <c r="BV185" s="5"/>
      <c r="BW185" s="5"/>
      <c r="BX185" s="5"/>
    </row>
    <row r="186" spans="1:76">
      <c r="A186" s="38">
        <v>193</v>
      </c>
      <c r="B186" s="38" t="s">
        <v>387</v>
      </c>
      <c r="C186" s="51" t="s">
        <v>101</v>
      </c>
      <c r="D186" s="77" t="s">
        <v>413</v>
      </c>
      <c r="E186" s="72" t="s">
        <v>441</v>
      </c>
      <c r="F186" s="102">
        <v>45159</v>
      </c>
      <c r="G186" s="51" t="s">
        <v>78</v>
      </c>
      <c r="H186" s="60">
        <f>32355</f>
        <v>32355</v>
      </c>
      <c r="I186" s="68">
        <v>0</v>
      </c>
      <c r="J186" s="40">
        <v>0</v>
      </c>
      <c r="K186" s="164"/>
      <c r="L186" s="165">
        <v>0</v>
      </c>
      <c r="M186" s="44">
        <f t="shared" si="0"/>
        <v>32355</v>
      </c>
      <c r="N186" s="44">
        <v>9522</v>
      </c>
      <c r="O186" s="42">
        <f>495</f>
        <v>495</v>
      </c>
      <c r="P186" s="44">
        <v>0</v>
      </c>
      <c r="Q186" s="44">
        <f t="shared" si="1"/>
        <v>469</v>
      </c>
      <c r="R186" s="107">
        <f>187</f>
        <v>187</v>
      </c>
      <c r="S186" s="44">
        <v>4801</v>
      </c>
      <c r="T186" s="44">
        <v>342</v>
      </c>
      <c r="U186" s="44">
        <f t="shared" si="2"/>
        <v>15816</v>
      </c>
      <c r="V186" s="44">
        <f t="shared" si="3"/>
        <v>48171</v>
      </c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5"/>
      <c r="BH186" s="5"/>
      <c r="BI186" s="5"/>
      <c r="BJ186" s="5"/>
      <c r="BK186" s="5"/>
      <c r="BL186" s="5"/>
      <c r="BM186" s="5"/>
      <c r="BN186" s="5"/>
      <c r="BO186" s="5"/>
      <c r="BP186" s="5"/>
      <c r="BQ186" s="5"/>
      <c r="BR186" s="5"/>
      <c r="BS186" s="5"/>
      <c r="BT186" s="5"/>
      <c r="BU186" s="5"/>
      <c r="BV186" s="5"/>
      <c r="BW186" s="5"/>
      <c r="BX186" s="5"/>
    </row>
    <row r="187" spans="1:76">
      <c r="A187" s="38">
        <v>197</v>
      </c>
      <c r="B187" s="38" t="s">
        <v>388</v>
      </c>
      <c r="C187" s="51" t="s">
        <v>380</v>
      </c>
      <c r="D187" s="77" t="s">
        <v>437</v>
      </c>
      <c r="E187" s="72" t="s">
        <v>441</v>
      </c>
      <c r="F187" s="102">
        <v>44326</v>
      </c>
      <c r="G187" s="51" t="s">
        <v>78</v>
      </c>
      <c r="H187" s="60">
        <f>32355</f>
        <v>32355</v>
      </c>
      <c r="I187" s="68">
        <v>0</v>
      </c>
      <c r="J187" s="40">
        <v>0</v>
      </c>
      <c r="K187" s="164"/>
      <c r="L187" s="165">
        <v>0</v>
      </c>
      <c r="M187" s="44">
        <f t="shared" si="0"/>
        <v>32355</v>
      </c>
      <c r="N187" s="44">
        <v>9522</v>
      </c>
      <c r="O187" s="42">
        <f>495</f>
        <v>495</v>
      </c>
      <c r="P187" s="44">
        <v>0</v>
      </c>
      <c r="Q187" s="44">
        <f t="shared" si="1"/>
        <v>469</v>
      </c>
      <c r="R187" s="107">
        <f>187</f>
        <v>187</v>
      </c>
      <c r="S187" s="44">
        <v>0</v>
      </c>
      <c r="T187" s="44">
        <v>0</v>
      </c>
      <c r="U187" s="44">
        <f t="shared" si="2"/>
        <v>10673</v>
      </c>
      <c r="V187" s="44">
        <f t="shared" si="3"/>
        <v>43028</v>
      </c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5"/>
      <c r="BH187" s="5"/>
      <c r="BI187" s="5"/>
      <c r="BJ187" s="5"/>
      <c r="BK187" s="5"/>
      <c r="BL187" s="5"/>
      <c r="BM187" s="5"/>
      <c r="BN187" s="5"/>
      <c r="BO187" s="5"/>
      <c r="BP187" s="5"/>
      <c r="BQ187" s="5"/>
      <c r="BR187" s="5"/>
      <c r="BS187" s="5"/>
      <c r="BT187" s="5"/>
      <c r="BU187" s="5"/>
      <c r="BV187" s="5"/>
      <c r="BW187" s="5"/>
      <c r="BX187" s="5"/>
    </row>
    <row r="188" spans="1:76" ht="27.75">
      <c r="A188" s="110">
        <v>198</v>
      </c>
      <c r="B188" s="110" t="s">
        <v>389</v>
      </c>
      <c r="C188" s="145" t="s">
        <v>500</v>
      </c>
      <c r="D188" s="78" t="s">
        <v>127</v>
      </c>
      <c r="E188" s="74" t="s">
        <v>441</v>
      </c>
      <c r="F188" s="111"/>
      <c r="G188" s="75" t="s">
        <v>78</v>
      </c>
      <c r="H188" s="60">
        <f>32355</f>
        <v>32355</v>
      </c>
      <c r="I188" s="68">
        <v>0</v>
      </c>
      <c r="J188" s="68">
        <v>0</v>
      </c>
      <c r="K188" s="141"/>
      <c r="L188" s="142">
        <v>0</v>
      </c>
      <c r="M188" s="62">
        <f t="shared" si="0"/>
        <v>32355</v>
      </c>
      <c r="N188" s="62">
        <v>9522</v>
      </c>
      <c r="O188" s="113">
        <f>495</f>
        <v>495</v>
      </c>
      <c r="P188" s="62">
        <v>0</v>
      </c>
      <c r="Q188" s="62">
        <f t="shared" si="1"/>
        <v>469</v>
      </c>
      <c r="R188" s="119">
        <f>187</f>
        <v>187</v>
      </c>
      <c r="S188" s="62">
        <v>0</v>
      </c>
      <c r="T188" s="62">
        <v>0</v>
      </c>
      <c r="U188" s="62">
        <f t="shared" si="2"/>
        <v>10673</v>
      </c>
      <c r="V188" s="62">
        <f t="shared" si="3"/>
        <v>43028</v>
      </c>
      <c r="W188" s="112"/>
      <c r="X188" s="112"/>
      <c r="Y188" s="112"/>
      <c r="Z188" s="112"/>
      <c r="AA188" s="112"/>
      <c r="AB188" s="112"/>
      <c r="AC188" s="112"/>
      <c r="AD188" s="112"/>
      <c r="AE188" s="112"/>
      <c r="AF188" s="112"/>
      <c r="AG188" s="112"/>
      <c r="AH188" s="112"/>
      <c r="AI188" s="112"/>
      <c r="AJ188" s="112"/>
      <c r="AK188" s="112"/>
      <c r="AL188" s="112"/>
      <c r="AM188" s="112"/>
      <c r="AN188" s="112"/>
      <c r="AO188" s="112"/>
      <c r="AP188" s="112"/>
      <c r="AQ188" s="112"/>
      <c r="AR188" s="112"/>
      <c r="AS188" s="112"/>
      <c r="AT188" s="112"/>
      <c r="AU188" s="112"/>
      <c r="AV188" s="112"/>
      <c r="AW188" s="112"/>
      <c r="AX188" s="112"/>
      <c r="AY188" s="112"/>
      <c r="AZ188" s="112"/>
      <c r="BA188" s="112"/>
      <c r="BB188" s="112"/>
      <c r="BC188" s="112"/>
      <c r="BD188" s="112"/>
      <c r="BE188" s="112"/>
      <c r="BF188" s="112"/>
    </row>
    <row r="189" spans="1:76">
      <c r="A189" s="38">
        <v>228</v>
      </c>
      <c r="B189" s="38" t="s">
        <v>411</v>
      </c>
      <c r="C189" s="51" t="s">
        <v>371</v>
      </c>
      <c r="D189" s="77" t="s">
        <v>438</v>
      </c>
      <c r="E189" s="72" t="s">
        <v>442</v>
      </c>
      <c r="F189" s="102">
        <v>44977</v>
      </c>
      <c r="G189" s="51" t="s">
        <v>282</v>
      </c>
      <c r="H189" s="60">
        <v>21678</v>
      </c>
      <c r="I189" s="68">
        <v>0</v>
      </c>
      <c r="J189" s="40">
        <v>0</v>
      </c>
      <c r="K189" s="164"/>
      <c r="L189" s="165">
        <v>0</v>
      </c>
      <c r="M189" s="44">
        <f t="shared" ref="M189" si="31">(+H189+I189+J189+L189)</f>
        <v>21678</v>
      </c>
      <c r="N189" s="44">
        <f t="shared" ref="N189" si="32">ROUND((M189*0.2943),0)/2</f>
        <v>3190</v>
      </c>
      <c r="O189" s="44">
        <f>248</f>
        <v>248</v>
      </c>
      <c r="P189" s="44">
        <v>0</v>
      </c>
      <c r="Q189" s="44">
        <f t="shared" si="1"/>
        <v>314</v>
      </c>
      <c r="R189" s="44">
        <f>94</f>
        <v>94</v>
      </c>
      <c r="S189" s="44">
        <v>8551</v>
      </c>
      <c r="T189" s="44">
        <v>342</v>
      </c>
      <c r="U189" s="44">
        <f t="shared" si="2"/>
        <v>12739</v>
      </c>
      <c r="V189" s="44">
        <f t="shared" si="3"/>
        <v>34417</v>
      </c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5"/>
      <c r="BH189" s="5"/>
      <c r="BI189" s="5"/>
      <c r="BJ189" s="5"/>
      <c r="BK189" s="5"/>
      <c r="BL189" s="5"/>
      <c r="BM189" s="5"/>
      <c r="BN189" s="5"/>
      <c r="BO189" s="5"/>
      <c r="BP189" s="5"/>
      <c r="BQ189" s="5"/>
      <c r="BR189" s="5"/>
      <c r="BS189" s="5"/>
      <c r="BT189" s="5"/>
      <c r="BU189" s="5"/>
      <c r="BV189" s="5"/>
      <c r="BW189" s="5"/>
      <c r="BX189" s="5"/>
    </row>
    <row r="190" spans="1:76">
      <c r="A190" s="38">
        <v>244</v>
      </c>
      <c r="B190" s="38"/>
      <c r="C190" s="51"/>
      <c r="D190" s="51"/>
      <c r="E190" s="72"/>
      <c r="F190" s="72"/>
      <c r="G190" s="51"/>
      <c r="H190" s="47">
        <v>0</v>
      </c>
      <c r="I190" s="40">
        <v>0</v>
      </c>
      <c r="J190" s="40">
        <v>0</v>
      </c>
      <c r="K190" s="164"/>
      <c r="L190" s="165">
        <v>0</v>
      </c>
      <c r="M190" s="44">
        <f t="shared" si="0"/>
        <v>0</v>
      </c>
      <c r="N190" s="44">
        <f t="shared" si="4"/>
        <v>0</v>
      </c>
      <c r="O190" s="44">
        <v>0</v>
      </c>
      <c r="P190" s="44">
        <v>0</v>
      </c>
      <c r="Q190" s="44">
        <f t="shared" si="1"/>
        <v>0</v>
      </c>
      <c r="R190" s="44">
        <v>0</v>
      </c>
      <c r="S190" s="44">
        <v>0</v>
      </c>
      <c r="T190" s="44">
        <v>0</v>
      </c>
      <c r="U190" s="44">
        <f t="shared" si="2"/>
        <v>0</v>
      </c>
      <c r="V190" s="44">
        <f t="shared" si="3"/>
        <v>0</v>
      </c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5"/>
      <c r="BH190" s="5"/>
      <c r="BI190" s="5"/>
      <c r="BJ190" s="5"/>
      <c r="BK190" s="5"/>
      <c r="BL190" s="5"/>
      <c r="BM190" s="5"/>
      <c r="BN190" s="5"/>
      <c r="BO190" s="5"/>
      <c r="BP190" s="5"/>
      <c r="BQ190" s="5"/>
      <c r="BR190" s="5"/>
      <c r="BS190" s="5"/>
      <c r="BT190" s="5"/>
      <c r="BU190" s="5"/>
      <c r="BV190" s="5"/>
      <c r="BW190" s="5"/>
      <c r="BX190" s="5"/>
    </row>
    <row r="191" spans="1:76">
      <c r="A191" s="52"/>
      <c r="B191" s="52"/>
      <c r="C191" s="52"/>
      <c r="D191" s="53" t="s">
        <v>82</v>
      </c>
      <c r="E191" s="90"/>
      <c r="F191" s="90"/>
      <c r="G191" s="156" t="s">
        <v>83</v>
      </c>
      <c r="H191" s="54">
        <f>SUM(H13:H190)</f>
        <v>5084056.25</v>
      </c>
      <c r="I191" s="54">
        <f>SUM(I13:I190)</f>
        <v>0</v>
      </c>
      <c r="J191" s="54">
        <f>SUM(J13:J190)</f>
        <v>0</v>
      </c>
      <c r="K191" s="170" t="s">
        <v>83</v>
      </c>
      <c r="L191" s="54">
        <f t="shared" ref="L191:V191" si="33">SUM(L13:L190)</f>
        <v>11130.75</v>
      </c>
      <c r="M191" s="54">
        <f t="shared" si="33"/>
        <v>5095187</v>
      </c>
      <c r="N191" s="54">
        <f t="shared" si="33"/>
        <v>1497834</v>
      </c>
      <c r="O191" s="54">
        <f t="shared" si="33"/>
        <v>53708</v>
      </c>
      <c r="P191" s="54">
        <f t="shared" si="33"/>
        <v>0</v>
      </c>
      <c r="Q191" s="41">
        <f t="shared" si="33"/>
        <v>73875</v>
      </c>
      <c r="R191" s="41">
        <f t="shared" si="33"/>
        <v>20851</v>
      </c>
      <c r="S191" s="41">
        <f t="shared" si="33"/>
        <v>866289</v>
      </c>
      <c r="T191" s="41">
        <f t="shared" si="33"/>
        <v>38845</v>
      </c>
      <c r="U191" s="41">
        <f t="shared" si="33"/>
        <v>2551402</v>
      </c>
      <c r="V191" s="41">
        <f t="shared" si="33"/>
        <v>7646589</v>
      </c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5"/>
      <c r="BH191" s="5"/>
      <c r="BI191" s="5"/>
      <c r="BJ191" s="5"/>
      <c r="BK191" s="5"/>
      <c r="BL191" s="5"/>
      <c r="BM191" s="5"/>
      <c r="BN191" s="5"/>
      <c r="BO191" s="5"/>
      <c r="BP191" s="5"/>
      <c r="BQ191" s="5"/>
      <c r="BR191" s="5"/>
      <c r="BS191" s="5"/>
      <c r="BT191" s="5"/>
      <c r="BU191" s="5"/>
      <c r="BV191" s="5"/>
      <c r="BW191" s="5"/>
      <c r="BX191" s="5"/>
    </row>
    <row r="192" spans="1:76">
      <c r="A192" s="5"/>
      <c r="B192" s="5"/>
      <c r="C192" s="5"/>
      <c r="D192" s="5"/>
      <c r="E192" s="91"/>
      <c r="F192" s="91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  <c r="BE192" s="5"/>
      <c r="BF192" s="5"/>
    </row>
    <row r="193" spans="1:58">
      <c r="A193" s="5"/>
      <c r="B193" s="5"/>
      <c r="C193" s="5"/>
      <c r="D193" s="5"/>
      <c r="E193" s="91"/>
      <c r="F193" s="91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5"/>
      <c r="BB193" s="5"/>
      <c r="BC193" s="5"/>
      <c r="BD193" s="5"/>
      <c r="BE193" s="5"/>
      <c r="BF193" s="5"/>
    </row>
    <row r="194" spans="1:58">
      <c r="A194" s="5"/>
      <c r="B194" s="5"/>
      <c r="C194" s="146"/>
      <c r="D194" s="5"/>
      <c r="E194" s="91"/>
      <c r="F194" s="91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5"/>
      <c r="BB194" s="5"/>
      <c r="BC194" s="5"/>
      <c r="BD194" s="5"/>
      <c r="BE194" s="5"/>
      <c r="BF194" s="5"/>
    </row>
    <row r="195" spans="1:58">
      <c r="A195" s="5"/>
      <c r="B195" s="5"/>
      <c r="C195" s="5"/>
      <c r="D195" s="5"/>
      <c r="E195" s="91"/>
      <c r="F195" s="91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  <c r="BE195" s="5"/>
      <c r="BF195" s="5"/>
    </row>
    <row r="196" spans="1:58">
      <c r="A196" s="5"/>
      <c r="B196" s="5"/>
      <c r="C196" s="144"/>
      <c r="D196" s="5"/>
      <c r="E196" s="91"/>
      <c r="F196" s="91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  <c r="BC196" s="5"/>
      <c r="BD196" s="5"/>
      <c r="BE196" s="5"/>
      <c r="BF196" s="5"/>
    </row>
    <row r="197" spans="1:58">
      <c r="A197" s="5"/>
      <c r="B197" s="5"/>
      <c r="C197" s="144"/>
      <c r="D197" s="5"/>
      <c r="E197" s="91"/>
      <c r="F197" s="91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  <c r="BC197" s="5"/>
      <c r="BD197" s="5"/>
      <c r="BE197" s="5"/>
      <c r="BF197" s="5"/>
    </row>
    <row r="198" spans="1:58">
      <c r="A198" s="5"/>
      <c r="B198" s="5"/>
      <c r="C198" s="5"/>
      <c r="D198" s="5"/>
      <c r="E198" s="91"/>
      <c r="F198" s="91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</row>
    <row r="199" spans="1:58">
      <c r="A199" s="5"/>
      <c r="B199" s="5"/>
      <c r="C199" s="5"/>
      <c r="D199" s="5"/>
      <c r="E199" s="91"/>
      <c r="F199" s="91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</row>
    <row r="200" spans="1:58">
      <c r="A200" s="5"/>
      <c r="B200" s="5"/>
      <c r="C200" s="5"/>
      <c r="D200" s="5"/>
      <c r="E200" s="91"/>
      <c r="F200" s="91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</row>
    <row r="201" spans="1:58">
      <c r="A201" s="5"/>
      <c r="B201" s="5"/>
      <c r="C201" s="5"/>
      <c r="D201" s="5"/>
      <c r="E201" s="91"/>
      <c r="F201" s="91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</row>
    <row r="202" spans="1:58">
      <c r="A202" s="5"/>
      <c r="B202" s="5"/>
      <c r="C202" s="5"/>
      <c r="D202" s="5"/>
      <c r="E202" s="91"/>
      <c r="F202" s="91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</row>
    <row r="203" spans="1:58">
      <c r="A203" s="5"/>
      <c r="B203" s="5"/>
      <c r="C203" s="5"/>
      <c r="D203" s="5"/>
      <c r="E203" s="91"/>
      <c r="F203" s="91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</row>
    <row r="204" spans="1:58">
      <c r="A204" s="5"/>
      <c r="B204" s="5"/>
      <c r="C204" s="5"/>
      <c r="D204" s="5"/>
      <c r="E204" s="91"/>
      <c r="F204" s="91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</row>
    <row r="205" spans="1:58">
      <c r="A205" s="5"/>
      <c r="B205" s="5"/>
      <c r="C205" s="5"/>
      <c r="D205" s="5"/>
      <c r="E205" s="91"/>
      <c r="F205" s="91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</row>
    <row r="206" spans="1:58">
      <c r="A206" s="5"/>
      <c r="B206" s="5"/>
      <c r="C206" s="5"/>
      <c r="D206" s="5"/>
      <c r="E206" s="91"/>
      <c r="F206" s="91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</row>
    <row r="207" spans="1:58">
      <c r="A207" s="5"/>
      <c r="B207" s="5"/>
      <c r="C207" s="5"/>
      <c r="D207" s="5"/>
      <c r="E207" s="91"/>
      <c r="F207" s="91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</row>
    <row r="208" spans="1:58">
      <c r="A208" s="5"/>
      <c r="B208" s="5"/>
      <c r="C208" s="5"/>
      <c r="D208" s="5"/>
      <c r="E208" s="91"/>
      <c r="F208" s="91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</row>
    <row r="209" spans="1:29">
      <c r="A209" s="5"/>
      <c r="B209" s="5"/>
      <c r="C209" s="5"/>
      <c r="D209" s="5"/>
      <c r="E209" s="91"/>
      <c r="F209" s="91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</row>
    <row r="210" spans="1:29">
      <c r="A210" s="5"/>
      <c r="B210" s="5"/>
      <c r="C210" s="5"/>
      <c r="D210" s="5"/>
      <c r="E210" s="91"/>
      <c r="F210" s="91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</row>
    <row r="211" spans="1:29">
      <c r="A211" s="5"/>
      <c r="B211" s="5"/>
      <c r="C211" s="5"/>
      <c r="D211" s="5"/>
      <c r="E211" s="91"/>
      <c r="F211" s="91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</row>
  </sheetData>
  <mergeCells count="1">
    <mergeCell ref="K10:L11"/>
  </mergeCells>
  <printOptions horizontalCentered="1"/>
  <pageMargins left="0.2" right="0.2" top="1.07" bottom="0.25" header="0.3" footer="0.3"/>
  <pageSetup paperSize="5" scale="65" orientation="landscape" r:id="rId1"/>
  <headerFooter>
    <oddHeader>&amp;C&amp;"Times New Roman,Bold"Government of Guam 
Fiscal Year 2024
Agency Staffing Pattern
(CURRENT)&amp;R&amp;"Times New Roman,Bold"[BBMR SP-1]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GDOL FY 25 3rd. QTR.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Helen Mafnas</dc:creator>
  <cp:lastModifiedBy>Louvana F. Surber</cp:lastModifiedBy>
  <cp:lastPrinted>2024-03-05T01:58:46Z</cp:lastPrinted>
  <dcterms:created xsi:type="dcterms:W3CDTF">2024-03-01T05:24:31Z</dcterms:created>
  <dcterms:modified xsi:type="dcterms:W3CDTF">2025-08-04T02:52:43Z</dcterms:modified>
</cp:coreProperties>
</file>